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mor\Desktop\"/>
    </mc:Choice>
  </mc:AlternateContent>
  <bookViews>
    <workbookView xWindow="930" yWindow="0" windowWidth="19560" windowHeight="8145" activeTab="1"/>
  </bookViews>
  <sheets>
    <sheet name="דיווח דיגומים" sheetId="5" r:id="rId1"/>
    <sheet name="דיווח חריגים" sheetId="1" r:id="rId2"/>
    <sheet name="תוצאות דיגום אסורים" sheetId="2" r:id="rId3"/>
  </sheets>
  <calcPr calcId="162913"/>
</workbook>
</file>

<file path=xl/calcChain.xml><?xml version="1.0" encoding="utf-8"?>
<calcChain xmlns="http://schemas.openxmlformats.org/spreadsheetml/2006/main">
  <c r="I32" i="1" l="1"/>
  <c r="I36" i="1"/>
  <c r="L12" i="1"/>
  <c r="K12" i="1"/>
  <c r="I12" i="1"/>
  <c r="J35" i="1"/>
  <c r="J27" i="1"/>
  <c r="I27" i="1"/>
  <c r="I20" i="1"/>
  <c r="I16" i="1"/>
  <c r="I10" i="1"/>
  <c r="J29" i="1"/>
  <c r="I29" i="1"/>
  <c r="J21" i="1"/>
  <c r="I21" i="1"/>
  <c r="J20" i="1"/>
  <c r="I19" i="1"/>
  <c r="J17" i="1"/>
  <c r="I17" i="1"/>
  <c r="J33" i="1"/>
  <c r="I38" i="1"/>
  <c r="J37" i="1"/>
  <c r="D37" i="1"/>
  <c r="L25" i="1"/>
  <c r="K25" i="1"/>
  <c r="I25" i="1"/>
  <c r="J11" i="1"/>
  <c r="I11" i="1"/>
  <c r="J26" i="1"/>
  <c r="I26" i="1"/>
  <c r="J16" i="1"/>
  <c r="J24" i="1"/>
  <c r="I24" i="1"/>
  <c r="J36" i="1"/>
  <c r="I35" i="1"/>
  <c r="I23" i="1"/>
  <c r="J34" i="1"/>
  <c r="J19" i="1"/>
  <c r="I18" i="1"/>
  <c r="I31" i="1"/>
  <c r="I30" i="1"/>
  <c r="D17" i="2"/>
  <c r="J28" i="1"/>
  <c r="I28" i="1"/>
  <c r="D28" i="1"/>
  <c r="J23" i="1"/>
  <c r="I22" i="1"/>
  <c r="J22" i="1" l="1"/>
  <c r="J18" i="1"/>
  <c r="L15" i="1"/>
  <c r="K15" i="1"/>
  <c r="I15" i="1"/>
  <c r="D15" i="1"/>
  <c r="J14" i="1"/>
  <c r="I14" i="1"/>
  <c r="D14" i="1"/>
  <c r="D9" i="2"/>
  <c r="J13" i="1"/>
  <c r="I13" i="1"/>
  <c r="D13" i="1"/>
  <c r="D11" i="1"/>
  <c r="F49" i="5"/>
  <c r="F48" i="5"/>
  <c r="F47" i="5"/>
  <c r="F46" i="5" l="1"/>
  <c r="F45" i="5"/>
  <c r="F44" i="5"/>
  <c r="F42" i="5"/>
  <c r="F41" i="5"/>
  <c r="F40" i="5"/>
  <c r="F37" i="5"/>
  <c r="F36" i="5"/>
  <c r="F31" i="5"/>
  <c r="F30" i="5"/>
  <c r="F29" i="5"/>
  <c r="D10" i="2" s="1"/>
  <c r="F27" i="5"/>
  <c r="F26" i="5"/>
  <c r="F25" i="5"/>
  <c r="F24" i="5"/>
  <c r="F23" i="5"/>
  <c r="F22" i="5"/>
  <c r="F21" i="5"/>
  <c r="F19" i="5"/>
  <c r="F17" i="5"/>
  <c r="F16" i="5"/>
  <c r="F15" i="5"/>
  <c r="F13" i="5"/>
  <c r="F12" i="5"/>
  <c r="F11" i="5" l="1"/>
  <c r="F10" i="5"/>
  <c r="F9" i="5"/>
</calcChain>
</file>

<file path=xl/sharedStrings.xml><?xml version="1.0" encoding="utf-8"?>
<sst xmlns="http://schemas.openxmlformats.org/spreadsheetml/2006/main" count="458" uniqueCount="171">
  <si>
    <t>שם מפעל</t>
  </si>
  <si>
    <t>מס'</t>
  </si>
  <si>
    <t>כתובת המפעל</t>
  </si>
  <si>
    <t>מס' סידורי</t>
  </si>
  <si>
    <t>האם יש הסכם להזרמת שפכים חריגים
כן/לא</t>
  </si>
  <si>
    <t>מספר דיגומים שנמצאו שפכים חריגים</t>
  </si>
  <si>
    <t>מספק דיגומים שנמצאו שפכים אסורים</t>
  </si>
  <si>
    <t>מספר הדיגומים שלא נמצאו חריגות (אסורים או חריגים)</t>
  </si>
  <si>
    <t>מגזר תעשייתי לפי התוספת השלישית</t>
  </si>
  <si>
    <t>תאריך הדיגום</t>
  </si>
  <si>
    <t>ערך נמדד</t>
  </si>
  <si>
    <t>הפרמטר החורג</t>
  </si>
  <si>
    <t>אופן הדיגום (חטף/מורכב)</t>
  </si>
  <si>
    <t>מגזר תעשייתי</t>
  </si>
  <si>
    <t>מספר בדיקות שנתי מתוכנן עפ"י תכנית הדיגום</t>
  </si>
  <si>
    <t>מספר בדיקות בפועל</t>
  </si>
  <si>
    <t>חטף</t>
  </si>
  <si>
    <t>לא</t>
  </si>
  <si>
    <t>מורכב</t>
  </si>
  <si>
    <t>אולמות אירועים, מסעדות, קניונים</t>
  </si>
  <si>
    <t>שופרסל</t>
  </si>
  <si>
    <t>תוצאות דיגום אסורים</t>
  </si>
  <si>
    <t>דיווח חריגים</t>
  </si>
  <si>
    <t>דיווח דיגומים</t>
  </si>
  <si>
    <r>
      <t xml:space="preserve">הערות 
</t>
    </r>
    <r>
      <rPr>
        <b/>
        <u/>
        <sz val="12"/>
        <color rgb="FFFF0000"/>
        <rFont val="Arial"/>
        <family val="2"/>
      </rPr>
      <t/>
    </r>
  </si>
  <si>
    <t>לחם יין קוקיס</t>
  </si>
  <si>
    <t>אולמי אחוזה</t>
  </si>
  <si>
    <t>מרכז ליגד סנטר 1</t>
  </si>
  <si>
    <t>קניון סולומון</t>
  </si>
  <si>
    <t>רמי לוי סופר מרקט</t>
  </si>
  <si>
    <t>אולמי הרמזו</t>
  </si>
  <si>
    <t>דין שיווק (שקדיה)</t>
  </si>
  <si>
    <t>משק דבורים לין</t>
  </si>
  <si>
    <t>תחנת דלק דור אלון</t>
  </si>
  <si>
    <t xml:space="preserve">כביש 443 תחנת דלק של דלק  </t>
  </si>
  <si>
    <t>מוסך טויוטה- אוטופיה</t>
  </si>
  <si>
    <t>מוסך עוצמה</t>
  </si>
  <si>
    <t>מוסך חוצה ישראל</t>
  </si>
  <si>
    <t>מוסך בסון</t>
  </si>
  <si>
    <t>קנקון</t>
  </si>
  <si>
    <t>מרכז ספורט שמבזולה - BIT CAFE</t>
  </si>
  <si>
    <t>תחנת דלק פז אזור המלאכה (תחנת דלק, רחיצת מכוניות, מסעדה)</t>
  </si>
  <si>
    <t>תחנת דלק מיקה  (תחנת דלק, רחיצת מכוניות, 2 מסעדות)</t>
  </si>
  <si>
    <t>בורגרים</t>
  </si>
  <si>
    <t xml:space="preserve">מרכז לב רעות-הדרים </t>
  </si>
  <si>
    <t>באנאפה</t>
  </si>
  <si>
    <t>קלין שופ</t>
  </si>
  <si>
    <t xml:space="preserve">קריב דבורה-באבא ג'ים </t>
  </si>
  <si>
    <t xml:space="preserve">מרכז מרל"ז- עמק דותן </t>
  </si>
  <si>
    <t>פסגת הבאגט</t>
  </si>
  <si>
    <t>מרכז "מיניקן"-נחל זוהר</t>
  </si>
  <si>
    <t>סושי בר+ קפה זולה</t>
  </si>
  <si>
    <t xml:space="preserve">פיצה האט </t>
  </si>
  <si>
    <t xml:space="preserve">מרכז שרב"ט </t>
  </si>
  <si>
    <t>אטליז לומיטו</t>
  </si>
  <si>
    <t>קפה ג'ו</t>
  </si>
  <si>
    <t xml:space="preserve">המלאכה-ישפרו </t>
  </si>
  <si>
    <t>פינתי מודיעין</t>
  </si>
  <si>
    <t xml:space="preserve">מקדונלדס </t>
  </si>
  <si>
    <t>פנדה</t>
  </si>
  <si>
    <t xml:space="preserve"> המלאכה ישפרו</t>
  </si>
  <si>
    <t>טיב טעם</t>
  </si>
  <si>
    <t>מרכז חינוכי ישן</t>
  </si>
  <si>
    <t>מסעדת מכב'יס- מאי אשכנזי</t>
  </si>
  <si>
    <t>עמק בית שאן</t>
  </si>
  <si>
    <t xml:space="preserve">מרכז לשם </t>
  </si>
  <si>
    <t>מרכז הבשר אטליז</t>
  </si>
  <si>
    <t>מכבסת זוהר</t>
  </si>
  <si>
    <t>פרנג'ליקו</t>
  </si>
  <si>
    <t xml:space="preserve">פארק ענבה </t>
  </si>
  <si>
    <t>קפה קפית</t>
  </si>
  <si>
    <t>אזור המלאכה</t>
  </si>
  <si>
    <t>אזור תעסוקה</t>
  </si>
  <si>
    <t>כביש 443</t>
  </si>
  <si>
    <t xml:space="preserve">תחנת דלק של דלק  </t>
  </si>
  <si>
    <t xml:space="preserve">אזור תעסוקה </t>
  </si>
  <si>
    <t xml:space="preserve">תחנת שאיבה כפר שמואל </t>
  </si>
  <si>
    <t>כפר שמואל</t>
  </si>
  <si>
    <t xml:space="preserve">דרך ישראל פלד </t>
  </si>
  <si>
    <t xml:space="preserve">מרכז מליבו- עמק דותן </t>
  </si>
  <si>
    <t>מגה</t>
  </si>
  <si>
    <t>שדרות התעשיות</t>
  </si>
  <si>
    <t>חטיבת גולני</t>
  </si>
  <si>
    <t>החרט</t>
  </si>
  <si>
    <t>הבנאי, ישפרו</t>
  </si>
  <si>
    <t>הסתת</t>
  </si>
  <si>
    <t>זכריה הנביא</t>
  </si>
  <si>
    <t>שדרות המלאכות</t>
  </si>
  <si>
    <t>המכונאי</t>
  </si>
  <si>
    <t>שדרות המקצועות</t>
  </si>
  <si>
    <t>סופר מרקט קו אופ  הריבוע כחול</t>
  </si>
  <si>
    <t>מפעלי מזון ומשקאות</t>
  </si>
  <si>
    <t>תחנות תדלוק, תחנות רחיצה בלא מחזור מים, מסעדות</t>
  </si>
  <si>
    <t>תחנות תדלוק</t>
  </si>
  <si>
    <t>תחנות תדלוק, תחנות רחיצה בלא מחזור מים</t>
  </si>
  <si>
    <t xml:space="preserve">מוסכים (מכונאות רכב) </t>
  </si>
  <si>
    <t>מכבסות</t>
  </si>
  <si>
    <t>כן</t>
  </si>
  <si>
    <t>הורדה מתכנית הניטור, אין שעון מים</t>
  </si>
  <si>
    <t>בשני דיגומים לא הייתה זרימת שפכים ובדיגום נוסף בית העסק חסם את שוחת הדיגום.</t>
  </si>
  <si>
    <t>בשני דיגומים לא הייתה זרימת שפכים.</t>
  </si>
  <si>
    <t>בית העסק נסגר בנובמבר 2015.</t>
  </si>
  <si>
    <t>באחד הדיגומים לא הייתה זרימת שפכים.</t>
  </si>
  <si>
    <t>באחד הדיגומים לא הייתה זרימת שפכים ובית העסק נסגר בנובמבר 2015.</t>
  </si>
  <si>
    <t>באחד הדיגומים לא הייתה זרימת שפכים ובדיגום נוסף שוחת הדיגום הייתה מלאה בשומנים.</t>
  </si>
  <si>
    <t>לא הייתה זרימת שפכים בכל הניסיונות לקחת דגימה (סה"כ 5 ניסיונות).</t>
  </si>
  <si>
    <t>הייתה בעיה בביצוע דיגום מורכב בשוחת הדיגום, אותרה נקודת דיגום בה ניתן להציב דוגם מורכב.</t>
  </si>
  <si>
    <t>בשני דיגומים לא הייתה זרימת שפכים ובדיגום נוסף שוחת הביוב הייתה חסומה.</t>
  </si>
  <si>
    <t>בשני דיגומים שוחת הביוב הייתה סתומה.</t>
  </si>
  <si>
    <t>באחד הדיגומים שוחת הדיגום הייתה חסומה.</t>
  </si>
  <si>
    <t>אותרה נקודת דיגום שאינה נכונה ועל כן בוטלו הדיגומים והחיובים.</t>
  </si>
  <si>
    <t>נתרן</t>
  </si>
  <si>
    <t>31.3.15</t>
  </si>
  <si>
    <t>שמנים ושומנים</t>
  </si>
  <si>
    <t>22.3.15</t>
  </si>
  <si>
    <t>שמנים ושומנים
נתרן</t>
  </si>
  <si>
    <t>306
298</t>
  </si>
  <si>
    <t>16.4.15</t>
  </si>
  <si>
    <t>395
4.7</t>
  </si>
  <si>
    <t>שמנים ושומנים
pH</t>
  </si>
  <si>
    <t>21.4.15</t>
  </si>
  <si>
    <t>31.5.15</t>
  </si>
  <si>
    <t>12.5.15</t>
  </si>
  <si>
    <t>pH
נתרן</t>
  </si>
  <si>
    <t>5.1
2814</t>
  </si>
  <si>
    <t>pH</t>
  </si>
  <si>
    <t>446
5.8</t>
  </si>
  <si>
    <t>תחנת פז אזור תעסוקה (תחנת דלק, רחיצת מכוניות)</t>
  </si>
  <si>
    <t>שמן מינרלי</t>
  </si>
  <si>
    <t>14.6.15</t>
  </si>
  <si>
    <t>pH
כלורידים
נתרן</t>
  </si>
  <si>
    <t>4.7
590
284</t>
  </si>
  <si>
    <t>5.7.15</t>
  </si>
  <si>
    <t>pH
שמן מינרלי
אבץ
מוליבדן
נחושת</t>
  </si>
  <si>
    <t>5.2
54
5
4
2</t>
  </si>
  <si>
    <t>VSS
שמן מינרלי</t>
  </si>
  <si>
    <t>452
663</t>
  </si>
  <si>
    <t>12.7.15</t>
  </si>
  <si>
    <t>שופרסל לב רעות</t>
  </si>
  <si>
    <t>19.7.15</t>
  </si>
  <si>
    <t>30.8.15</t>
  </si>
  <si>
    <t>כלורידים
נתרן</t>
  </si>
  <si>
    <t>1845
1266</t>
  </si>
  <si>
    <t>9.8.15</t>
  </si>
  <si>
    <t>דור אלון</t>
  </si>
  <si>
    <t xml:space="preserve">MTBE
שמן מינרלי </t>
  </si>
  <si>
    <t xml:space="preserve">823
43760 </t>
  </si>
  <si>
    <t>24.9.15</t>
  </si>
  <si>
    <t xml:space="preserve">מוליבדן
מנגן
נחושת </t>
  </si>
  <si>
    <t xml:space="preserve">5.5
1.5
1.4 
</t>
  </si>
  <si>
    <t>18.10.15</t>
  </si>
  <si>
    <t>22.10.15</t>
  </si>
  <si>
    <t>27.12.15</t>
  </si>
  <si>
    <t>31.12.15</t>
  </si>
  <si>
    <t xml:space="preserve">pH
מוליבדן </t>
  </si>
  <si>
    <t xml:space="preserve">5.6
4.2 </t>
  </si>
  <si>
    <t xml:space="preserve">VSS </t>
  </si>
  <si>
    <t xml:space="preserve">שמנים ושומנים
כלורידים
נתרן </t>
  </si>
  <si>
    <t xml:space="preserve">506
519
307 
</t>
  </si>
  <si>
    <t>לא הייתה זרימה כלל.</t>
  </si>
  <si>
    <t>ריכוז - ריכוז מירבי המותר הזרמה על פי הסכם (מג"ל \ ערך)</t>
  </si>
  <si>
    <t>ממוצע - ממוצע ריכוזים בפועל (מג"ל \ ערך)</t>
  </si>
  <si>
    <t>ריכוז COD</t>
  </si>
  <si>
    <t>ריכוז TSS</t>
  </si>
  <si>
    <t>ריכוז חנקן קילדל</t>
  </si>
  <si>
    <t>ריכוז זרחן</t>
  </si>
  <si>
    <t>ממוצע COD</t>
  </si>
  <si>
    <t>ממוצע TSS</t>
  </si>
  <si>
    <t>ממוצע חנקן קילדל</t>
  </si>
  <si>
    <t>ממוצע זרחן</t>
  </si>
  <si>
    <r>
      <t xml:space="preserve">כמות </t>
    </r>
    <r>
      <rPr>
        <b/>
        <u/>
        <sz val="14"/>
        <rFont val="Arial"/>
        <family val="2"/>
        <scheme val="minor"/>
      </rPr>
      <t>מים</t>
    </r>
    <r>
      <rPr>
        <b/>
        <sz val="14"/>
        <rFont val="Arial"/>
        <family val="2"/>
        <scheme val="minor"/>
      </rPr>
      <t>/שפכים שנתית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</si>
</sst>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Calibri"/>
    </font>
    <font>
      <sz val="11"/>
      <name val="Calibri"/>
      <family val="2"/>
    </font>
    <font>
      <b/>
      <u/>
      <sz val="12"/>
      <color rgb="FFFF0000"/>
      <name val="Arial"/>
      <family val="2"/>
    </font>
    <font>
      <sz val="10"/>
      <name val="Arial"/>
      <family val="2"/>
      <charset val="177"/>
    </font>
    <font>
      <sz val="14"/>
      <name val="Arial"/>
      <family val="2"/>
    </font>
    <font>
      <b/>
      <sz val="14"/>
      <name val="Arial"/>
      <family val="2"/>
      <scheme val="minor"/>
    </font>
    <font>
      <b/>
      <u/>
      <sz val="14"/>
      <name val="Arial"/>
      <family val="2"/>
      <scheme val="minor"/>
    </font>
    <font>
      <sz val="14"/>
      <color theme="1"/>
      <name val="Arial"/>
      <family val="2"/>
      <scheme val="minor"/>
    </font>
    <font>
      <sz val="1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7" fillId="0" borderId="0">
      <alignment horizontal="right" readingOrder="1"/>
    </xf>
    <xf numFmtId="0" fontId="2" fillId="0" borderId="0"/>
  </cellStyleXfs>
  <cellXfs count="91">
    <xf numFmtId="0" fontId="0" fillId="0" borderId="0" xfId="0"/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right" vertical="center" wrapText="1" readingOrder="2"/>
    </xf>
    <xf numFmtId="0" fontId="9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 readingOrder="2"/>
    </xf>
    <xf numFmtId="0" fontId="9" fillId="2" borderId="15" xfId="0" applyFont="1" applyFill="1" applyBorder="1" applyAlignment="1">
      <alignment horizontal="center" vertical="center" wrapText="1" readingOrder="2"/>
    </xf>
    <xf numFmtId="0" fontId="9" fillId="2" borderId="16" xfId="0" applyFont="1" applyFill="1" applyBorder="1" applyAlignment="1">
      <alignment horizontal="center" vertical="center" wrapText="1" readingOrder="2"/>
    </xf>
    <xf numFmtId="0" fontId="9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3" fontId="12" fillId="2" borderId="8" xfId="0" applyNumberFormat="1" applyFont="1" applyFill="1" applyBorder="1" applyAlignment="1">
      <alignment horizontal="right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3" fontId="12" fillId="2" borderId="6" xfId="0" applyNumberFormat="1" applyFont="1" applyFill="1" applyBorder="1" applyAlignment="1">
      <alignment horizontal="center" vertical="center"/>
    </xf>
    <xf numFmtId="3" fontId="12" fillId="2" borderId="18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 vertical="center"/>
    </xf>
    <xf numFmtId="3" fontId="12" fillId="2" borderId="1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7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3" fontId="12" fillId="2" borderId="20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12" fillId="2" borderId="11" xfId="0" applyNumberFormat="1" applyFont="1" applyFill="1" applyBorder="1" applyAlignment="1">
      <alignment horizontal="center" vertical="center"/>
    </xf>
    <xf numFmtId="3" fontId="12" fillId="2" borderId="22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3" fontId="12" fillId="2" borderId="2" xfId="0" applyNumberFormat="1" applyFont="1" applyFill="1" applyBorder="1" applyAlignment="1">
      <alignment horizontal="center" vertical="center"/>
    </xf>
    <xf numFmtId="1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 readingOrder="2"/>
    </xf>
    <xf numFmtId="14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center" vertical="center" wrapText="1" readingOrder="2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</cellXfs>
  <cellStyles count="6">
    <cellStyle name="Normal" xfId="0" builtinId="0"/>
    <cellStyle name="Normal 2" xfId="1"/>
    <cellStyle name="Normal 2 2" xfId="4"/>
    <cellStyle name="Normal 3" xfId="2"/>
    <cellStyle name="Normal 3 2" xfId="5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68580</xdr:rowOff>
    </xdr:from>
    <xdr:to>
      <xdr:col>1</xdr:col>
      <xdr:colOff>1436370</xdr:colOff>
      <xdr:row>3</xdr:row>
      <xdr:rowOff>152400</xdr:rowOff>
    </xdr:to>
    <xdr:pic>
      <xdr:nvPicPr>
        <xdr:cNvPr id="4" name="Picture 4" descr="לוגו מי מודיעין"/>
        <xdr:cNvPicPr/>
      </xdr:nvPicPr>
      <xdr:blipFill rotWithShape="1">
        <a:blip xmlns:r="http://schemas.openxmlformats.org/officeDocument/2006/relationships" r:embed="rId1" cstate="print"/>
        <a:srcRect l="3678" t="2305" r="61854" b="82974"/>
        <a:stretch/>
      </xdr:blipFill>
      <xdr:spPr bwMode="auto">
        <a:xfrm>
          <a:off x="10242716370" y="68580"/>
          <a:ext cx="1893570" cy="7467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1074420</xdr:colOff>
      <xdr:row>3</xdr:row>
      <xdr:rowOff>171450</xdr:rowOff>
    </xdr:to>
    <xdr:pic>
      <xdr:nvPicPr>
        <xdr:cNvPr id="4" name="Picture 4" descr="לוגו של מי מודיעין"/>
        <xdr:cNvPicPr/>
      </xdr:nvPicPr>
      <xdr:blipFill rotWithShape="1">
        <a:blip xmlns:r="http://schemas.openxmlformats.org/officeDocument/2006/relationships" r:embed="rId1" cstate="print"/>
        <a:srcRect l="3678" t="2305" r="61854" b="82974"/>
        <a:stretch/>
      </xdr:blipFill>
      <xdr:spPr bwMode="auto">
        <a:xfrm>
          <a:off x="9986627220" y="95250"/>
          <a:ext cx="1405890" cy="7391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1005840</xdr:colOff>
      <xdr:row>3</xdr:row>
      <xdr:rowOff>171450</xdr:rowOff>
    </xdr:to>
    <xdr:pic>
      <xdr:nvPicPr>
        <xdr:cNvPr id="4" name="Picture 4" descr="לוגו מי מודיעין"/>
        <xdr:cNvPicPr/>
      </xdr:nvPicPr>
      <xdr:blipFill rotWithShape="1">
        <a:blip xmlns:r="http://schemas.openxmlformats.org/officeDocument/2006/relationships" r:embed="rId1" cstate="print"/>
        <a:srcRect l="3678" t="2305" r="61854" b="82974"/>
        <a:stretch/>
      </xdr:blipFill>
      <xdr:spPr bwMode="auto">
        <a:xfrm>
          <a:off x="10241325720" y="95250"/>
          <a:ext cx="1341120" cy="7391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rightToLeft="1" topLeftCell="A41" zoomScaleNormal="100" workbookViewId="0">
      <selection activeCell="A6" sqref="A6:M50"/>
    </sheetView>
  </sheetViews>
  <sheetFormatPr defaultColWidth="9.140625" defaultRowHeight="18" x14ac:dyDescent="0.2"/>
  <cols>
    <col min="1" max="1" width="9" style="11" customWidth="1"/>
    <col min="2" max="2" width="46.7109375" style="1" customWidth="1"/>
    <col min="3" max="3" width="24" style="11" bestFit="1" customWidth="1"/>
    <col min="4" max="4" width="34" style="11" customWidth="1"/>
    <col min="5" max="5" width="15.28515625" style="12" customWidth="1"/>
    <col min="6" max="6" width="13.140625" style="12" customWidth="1"/>
    <col min="7" max="7" width="16.28515625" style="12" bestFit="1" customWidth="1"/>
    <col min="8" max="8" width="9.85546875" style="12" customWidth="1"/>
    <col min="9" max="9" width="19.7109375" style="12" bestFit="1" customWidth="1"/>
    <col min="10" max="11" width="12.85546875" style="12" bestFit="1" customWidth="1"/>
    <col min="12" max="12" width="18.28515625" style="12" bestFit="1" customWidth="1"/>
    <col min="13" max="13" width="47.7109375" style="4" bestFit="1" customWidth="1"/>
    <col min="14" max="14" width="10.5703125" style="3" customWidth="1"/>
    <col min="15" max="16384" width="9.140625" style="4"/>
  </cols>
  <sheetData>
    <row r="1" spans="1:14" x14ac:dyDescent="0.2">
      <c r="A1" s="1"/>
      <c r="C1" s="1"/>
      <c r="D1" s="1"/>
      <c r="E1" s="2"/>
      <c r="F1" s="2"/>
      <c r="G1" s="2"/>
      <c r="H1" s="2"/>
      <c r="I1" s="2"/>
      <c r="J1" s="2"/>
      <c r="K1" s="2"/>
      <c r="L1" s="2"/>
      <c r="M1" s="3"/>
    </row>
    <row r="2" spans="1:14" s="8" customFormat="1" x14ac:dyDescent="0.2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s="8" customFormat="1" x14ac:dyDescent="0.2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7"/>
      <c r="N3" s="7"/>
    </row>
    <row r="4" spans="1:14" s="8" customFormat="1" x14ac:dyDescent="0.2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4" s="8" customFormat="1" x14ac:dyDescent="0.2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7"/>
      <c r="N5" s="7"/>
    </row>
    <row r="6" spans="1:14" s="3" customFormat="1" ht="18.75" thickBot="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s="10" customFormat="1" ht="90.75" thickBot="1" x14ac:dyDescent="0.25">
      <c r="A7" s="20" t="s">
        <v>3</v>
      </c>
      <c r="B7" s="18" t="s">
        <v>0</v>
      </c>
      <c r="C7" s="18" t="s">
        <v>2</v>
      </c>
      <c r="D7" s="18" t="s">
        <v>8</v>
      </c>
      <c r="E7" s="18" t="s">
        <v>12</v>
      </c>
      <c r="F7" s="18" t="s">
        <v>170</v>
      </c>
      <c r="G7" s="18" t="s">
        <v>14</v>
      </c>
      <c r="H7" s="18" t="s">
        <v>15</v>
      </c>
      <c r="I7" s="18" t="s">
        <v>4</v>
      </c>
      <c r="J7" s="18" t="s">
        <v>5</v>
      </c>
      <c r="K7" s="18" t="s">
        <v>6</v>
      </c>
      <c r="L7" s="18" t="s">
        <v>7</v>
      </c>
      <c r="M7" s="22" t="s">
        <v>24</v>
      </c>
      <c r="N7" s="9"/>
    </row>
    <row r="8" spans="1:14" s="8" customFormat="1" ht="54" x14ac:dyDescent="0.2">
      <c r="A8" s="26">
        <v>1</v>
      </c>
      <c r="B8" s="57" t="s">
        <v>43</v>
      </c>
      <c r="C8" s="27" t="s">
        <v>44</v>
      </c>
      <c r="D8" s="28" t="s">
        <v>19</v>
      </c>
      <c r="E8" s="58" t="s">
        <v>16</v>
      </c>
      <c r="F8" s="58">
        <v>120</v>
      </c>
      <c r="G8" s="59">
        <v>4</v>
      </c>
      <c r="H8" s="58">
        <v>4</v>
      </c>
      <c r="I8" s="58" t="s">
        <v>17</v>
      </c>
      <c r="J8" s="58">
        <v>1</v>
      </c>
      <c r="K8" s="58"/>
      <c r="L8" s="58"/>
      <c r="M8" s="60" t="s">
        <v>99</v>
      </c>
      <c r="N8" s="7"/>
    </row>
    <row r="9" spans="1:14" s="8" customFormat="1" ht="20.100000000000001" customHeight="1" x14ac:dyDescent="0.2">
      <c r="A9" s="34">
        <v>2</v>
      </c>
      <c r="B9" s="35" t="s">
        <v>45</v>
      </c>
      <c r="C9" s="42" t="s">
        <v>44</v>
      </c>
      <c r="D9" s="36" t="s">
        <v>19</v>
      </c>
      <c r="E9" s="61" t="s">
        <v>16</v>
      </c>
      <c r="F9" s="39">
        <f>1.3*320</f>
        <v>416</v>
      </c>
      <c r="G9" s="62">
        <v>4</v>
      </c>
      <c r="H9" s="61">
        <v>3</v>
      </c>
      <c r="I9" s="61" t="s">
        <v>17</v>
      </c>
      <c r="J9" s="61">
        <v>2</v>
      </c>
      <c r="K9" s="61">
        <v>1</v>
      </c>
      <c r="L9" s="61"/>
      <c r="M9" s="63" t="s">
        <v>101</v>
      </c>
      <c r="N9" s="7"/>
    </row>
    <row r="10" spans="1:14" ht="20.100000000000001" customHeight="1" x14ac:dyDescent="0.2">
      <c r="A10" s="34">
        <v>3</v>
      </c>
      <c r="B10" s="35" t="s">
        <v>20</v>
      </c>
      <c r="C10" s="42" t="s">
        <v>44</v>
      </c>
      <c r="D10" s="36" t="s">
        <v>19</v>
      </c>
      <c r="E10" s="61" t="s">
        <v>16</v>
      </c>
      <c r="F10" s="39">
        <f>1.42*320</f>
        <v>454.4</v>
      </c>
      <c r="G10" s="62">
        <v>4</v>
      </c>
      <c r="H10" s="61">
        <v>4</v>
      </c>
      <c r="I10" s="61" t="s">
        <v>17</v>
      </c>
      <c r="J10" s="61">
        <v>2</v>
      </c>
      <c r="K10" s="61">
        <v>1</v>
      </c>
      <c r="L10" s="61"/>
      <c r="M10" s="63" t="s">
        <v>100</v>
      </c>
    </row>
    <row r="11" spans="1:14" ht="20.100000000000001" customHeight="1" x14ac:dyDescent="0.2">
      <c r="A11" s="34">
        <v>4</v>
      </c>
      <c r="B11" s="35" t="s">
        <v>46</v>
      </c>
      <c r="C11" s="42" t="s">
        <v>44</v>
      </c>
      <c r="D11" s="36" t="s">
        <v>96</v>
      </c>
      <c r="E11" s="61" t="s">
        <v>16</v>
      </c>
      <c r="F11" s="39">
        <f>0.5*320</f>
        <v>160</v>
      </c>
      <c r="G11" s="62">
        <v>4</v>
      </c>
      <c r="H11" s="61">
        <v>4</v>
      </c>
      <c r="I11" s="61" t="s">
        <v>17</v>
      </c>
      <c r="J11" s="61">
        <v>2</v>
      </c>
      <c r="K11" s="61"/>
      <c r="L11" s="61">
        <v>1</v>
      </c>
      <c r="M11" s="63" t="s">
        <v>102</v>
      </c>
    </row>
    <row r="12" spans="1:14" ht="20.100000000000001" customHeight="1" x14ac:dyDescent="0.2">
      <c r="A12" s="34">
        <v>5</v>
      </c>
      <c r="B12" s="35" t="s">
        <v>47</v>
      </c>
      <c r="C12" s="42" t="s">
        <v>48</v>
      </c>
      <c r="D12" s="36" t="s">
        <v>19</v>
      </c>
      <c r="E12" s="61" t="s">
        <v>16</v>
      </c>
      <c r="F12" s="39">
        <f>0.81*320</f>
        <v>259.20000000000005</v>
      </c>
      <c r="G12" s="62">
        <v>4</v>
      </c>
      <c r="H12" s="61">
        <v>3</v>
      </c>
      <c r="I12" s="61" t="s">
        <v>17</v>
      </c>
      <c r="J12" s="61">
        <v>3</v>
      </c>
      <c r="K12" s="61">
        <v>2</v>
      </c>
      <c r="L12" s="61"/>
      <c r="M12" s="63"/>
    </row>
    <row r="13" spans="1:14" ht="36" x14ac:dyDescent="0.2">
      <c r="A13" s="34">
        <v>6</v>
      </c>
      <c r="B13" s="35" t="s">
        <v>49</v>
      </c>
      <c r="C13" s="42" t="s">
        <v>48</v>
      </c>
      <c r="D13" s="36" t="s">
        <v>19</v>
      </c>
      <c r="E13" s="61" t="s">
        <v>16</v>
      </c>
      <c r="F13" s="39">
        <f>0.31*320</f>
        <v>99.2</v>
      </c>
      <c r="G13" s="62">
        <v>4</v>
      </c>
      <c r="H13" s="61">
        <v>3</v>
      </c>
      <c r="I13" s="61" t="s">
        <v>17</v>
      </c>
      <c r="J13" s="61">
        <v>2</v>
      </c>
      <c r="K13" s="61">
        <v>1</v>
      </c>
      <c r="L13" s="61"/>
      <c r="M13" s="63" t="s">
        <v>103</v>
      </c>
    </row>
    <row r="14" spans="1:14" ht="20.100000000000001" customHeight="1" x14ac:dyDescent="0.2">
      <c r="A14" s="34">
        <v>7</v>
      </c>
      <c r="B14" s="35" t="s">
        <v>40</v>
      </c>
      <c r="C14" s="42" t="s">
        <v>78</v>
      </c>
      <c r="D14" s="36" t="s">
        <v>19</v>
      </c>
      <c r="E14" s="61" t="s">
        <v>16</v>
      </c>
      <c r="F14" s="39"/>
      <c r="G14" s="62"/>
      <c r="H14" s="61"/>
      <c r="I14" s="61"/>
      <c r="J14" s="61"/>
      <c r="K14" s="61"/>
      <c r="L14" s="61"/>
      <c r="M14" s="63" t="s">
        <v>98</v>
      </c>
    </row>
    <row r="15" spans="1:14" ht="20.100000000000001" customHeight="1" x14ac:dyDescent="0.2">
      <c r="A15" s="34">
        <v>8</v>
      </c>
      <c r="B15" s="42" t="s">
        <v>80</v>
      </c>
      <c r="C15" s="42" t="s">
        <v>79</v>
      </c>
      <c r="D15" s="36" t="s">
        <v>19</v>
      </c>
      <c r="E15" s="61" t="s">
        <v>16</v>
      </c>
      <c r="F15" s="39">
        <f>1.29*320</f>
        <v>412.8</v>
      </c>
      <c r="G15" s="62">
        <v>4</v>
      </c>
      <c r="H15" s="61">
        <v>3</v>
      </c>
      <c r="I15" s="61" t="s">
        <v>17</v>
      </c>
      <c r="J15" s="61">
        <v>3</v>
      </c>
      <c r="K15" s="61"/>
      <c r="L15" s="61"/>
      <c r="M15" s="63"/>
    </row>
    <row r="16" spans="1:14" ht="20.100000000000001" customHeight="1" x14ac:dyDescent="0.2">
      <c r="A16" s="34">
        <v>9</v>
      </c>
      <c r="B16" s="35" t="s">
        <v>51</v>
      </c>
      <c r="C16" s="42" t="s">
        <v>50</v>
      </c>
      <c r="D16" s="36" t="s">
        <v>19</v>
      </c>
      <c r="E16" s="61" t="s">
        <v>16</v>
      </c>
      <c r="F16" s="39">
        <f>3.34*320</f>
        <v>1068.8</v>
      </c>
      <c r="G16" s="62">
        <v>4</v>
      </c>
      <c r="H16" s="61">
        <v>3</v>
      </c>
      <c r="I16" s="61" t="s">
        <v>17</v>
      </c>
      <c r="J16" s="61">
        <v>2</v>
      </c>
      <c r="K16" s="61">
        <v>1</v>
      </c>
      <c r="L16" s="61">
        <v>1</v>
      </c>
      <c r="M16" s="63"/>
    </row>
    <row r="17" spans="1:13" ht="20.100000000000001" customHeight="1" x14ac:dyDescent="0.2">
      <c r="A17" s="34">
        <v>10</v>
      </c>
      <c r="B17" s="35" t="s">
        <v>52</v>
      </c>
      <c r="C17" s="36" t="s">
        <v>53</v>
      </c>
      <c r="D17" s="36" t="s">
        <v>19</v>
      </c>
      <c r="E17" s="61" t="s">
        <v>16</v>
      </c>
      <c r="F17" s="39">
        <f>1.22*320</f>
        <v>390.4</v>
      </c>
      <c r="G17" s="62">
        <v>4</v>
      </c>
      <c r="H17" s="61">
        <v>2</v>
      </c>
      <c r="I17" s="61" t="s">
        <v>17</v>
      </c>
      <c r="J17" s="61">
        <v>2</v>
      </c>
      <c r="K17" s="61">
        <v>1</v>
      </c>
      <c r="L17" s="61"/>
      <c r="M17" s="63"/>
    </row>
    <row r="18" spans="1:13" ht="54" x14ac:dyDescent="0.2">
      <c r="A18" s="34">
        <v>11</v>
      </c>
      <c r="B18" s="35" t="s">
        <v>54</v>
      </c>
      <c r="C18" s="36" t="s">
        <v>53</v>
      </c>
      <c r="D18" s="36" t="s">
        <v>19</v>
      </c>
      <c r="E18" s="61" t="s">
        <v>16</v>
      </c>
      <c r="F18" s="39">
        <v>74.5</v>
      </c>
      <c r="G18" s="62">
        <v>4</v>
      </c>
      <c r="H18" s="61">
        <v>4</v>
      </c>
      <c r="I18" s="61" t="s">
        <v>17</v>
      </c>
      <c r="J18" s="61"/>
      <c r="K18" s="61"/>
      <c r="L18" s="61">
        <v>2</v>
      </c>
      <c r="M18" s="63" t="s">
        <v>104</v>
      </c>
    </row>
    <row r="19" spans="1:13" ht="20.100000000000001" customHeight="1" x14ac:dyDescent="0.2">
      <c r="A19" s="34">
        <v>12</v>
      </c>
      <c r="B19" s="42" t="s">
        <v>55</v>
      </c>
      <c r="C19" s="36" t="s">
        <v>56</v>
      </c>
      <c r="D19" s="36" t="s">
        <v>19</v>
      </c>
      <c r="E19" s="61" t="s">
        <v>16</v>
      </c>
      <c r="F19" s="39">
        <f>2.07*320</f>
        <v>662.4</v>
      </c>
      <c r="G19" s="62">
        <v>4</v>
      </c>
      <c r="H19" s="61">
        <v>4</v>
      </c>
      <c r="I19" s="61" t="s">
        <v>17</v>
      </c>
      <c r="J19" s="61">
        <v>2</v>
      </c>
      <c r="K19" s="61">
        <v>2</v>
      </c>
      <c r="L19" s="61"/>
      <c r="M19" s="63" t="s">
        <v>102</v>
      </c>
    </row>
    <row r="20" spans="1:13" ht="36" x14ac:dyDescent="0.2">
      <c r="A20" s="34">
        <v>13</v>
      </c>
      <c r="B20" s="42" t="s">
        <v>59</v>
      </c>
      <c r="C20" s="36" t="s">
        <v>56</v>
      </c>
      <c r="D20" s="36" t="s">
        <v>19</v>
      </c>
      <c r="E20" s="61" t="s">
        <v>16</v>
      </c>
      <c r="F20" s="39">
        <v>489</v>
      </c>
      <c r="G20" s="62">
        <v>4</v>
      </c>
      <c r="H20" s="61">
        <v>4</v>
      </c>
      <c r="I20" s="61" t="s">
        <v>17</v>
      </c>
      <c r="J20" s="61"/>
      <c r="K20" s="61"/>
      <c r="L20" s="61"/>
      <c r="M20" s="63" t="s">
        <v>105</v>
      </c>
    </row>
    <row r="21" spans="1:13" ht="20.100000000000001" customHeight="1" x14ac:dyDescent="0.2">
      <c r="A21" s="34">
        <v>14</v>
      </c>
      <c r="B21" s="46" t="s">
        <v>58</v>
      </c>
      <c r="C21" s="36" t="s">
        <v>56</v>
      </c>
      <c r="D21" s="36" t="s">
        <v>19</v>
      </c>
      <c r="E21" s="61" t="s">
        <v>16</v>
      </c>
      <c r="F21" s="39">
        <f>1.11*320</f>
        <v>355.20000000000005</v>
      </c>
      <c r="G21" s="62">
        <v>4</v>
      </c>
      <c r="H21" s="61">
        <v>4</v>
      </c>
      <c r="I21" s="61" t="s">
        <v>17</v>
      </c>
      <c r="J21" s="61">
        <v>2</v>
      </c>
      <c r="K21" s="61">
        <v>1</v>
      </c>
      <c r="L21" s="61"/>
      <c r="M21" s="63" t="s">
        <v>100</v>
      </c>
    </row>
    <row r="22" spans="1:13" ht="20.100000000000001" customHeight="1" x14ac:dyDescent="0.2">
      <c r="A22" s="34">
        <v>15</v>
      </c>
      <c r="B22" s="42" t="s">
        <v>57</v>
      </c>
      <c r="C22" s="36" t="s">
        <v>56</v>
      </c>
      <c r="D22" s="36" t="s">
        <v>19</v>
      </c>
      <c r="E22" s="61" t="s">
        <v>16</v>
      </c>
      <c r="F22" s="39">
        <f>1.65*320</f>
        <v>528</v>
      </c>
      <c r="G22" s="62">
        <v>4</v>
      </c>
      <c r="H22" s="61">
        <v>3</v>
      </c>
      <c r="I22" s="61" t="s">
        <v>17</v>
      </c>
      <c r="J22" s="61">
        <v>2</v>
      </c>
      <c r="K22" s="61">
        <v>2</v>
      </c>
      <c r="L22" s="61"/>
      <c r="M22" s="63" t="s">
        <v>102</v>
      </c>
    </row>
    <row r="23" spans="1:13" ht="20.100000000000001" customHeight="1" x14ac:dyDescent="0.2">
      <c r="A23" s="34">
        <v>16</v>
      </c>
      <c r="B23" s="42" t="s">
        <v>25</v>
      </c>
      <c r="C23" s="36" t="s">
        <v>71</v>
      </c>
      <c r="D23" s="36" t="s">
        <v>19</v>
      </c>
      <c r="E23" s="61" t="s">
        <v>16</v>
      </c>
      <c r="F23" s="39">
        <f>3.7*320</f>
        <v>1184</v>
      </c>
      <c r="G23" s="62">
        <v>4</v>
      </c>
      <c r="H23" s="61">
        <v>4</v>
      </c>
      <c r="I23" s="61" t="s">
        <v>17</v>
      </c>
      <c r="J23" s="61">
        <v>1</v>
      </c>
      <c r="K23" s="61">
        <v>1</v>
      </c>
      <c r="L23" s="61">
        <v>2</v>
      </c>
      <c r="M23" s="63" t="s">
        <v>102</v>
      </c>
    </row>
    <row r="24" spans="1:13" ht="36" x14ac:dyDescent="0.2">
      <c r="A24" s="34">
        <v>17</v>
      </c>
      <c r="B24" s="42" t="s">
        <v>20</v>
      </c>
      <c r="C24" s="36" t="s">
        <v>60</v>
      </c>
      <c r="D24" s="36" t="s">
        <v>19</v>
      </c>
      <c r="E24" s="61" t="s">
        <v>16</v>
      </c>
      <c r="F24" s="39">
        <f>6.82*320</f>
        <v>2182.4</v>
      </c>
      <c r="G24" s="62">
        <v>4</v>
      </c>
      <c r="H24" s="61">
        <v>2</v>
      </c>
      <c r="I24" s="61" t="s">
        <v>17</v>
      </c>
      <c r="J24" s="61"/>
      <c r="K24" s="61"/>
      <c r="L24" s="61"/>
      <c r="M24" s="63" t="s">
        <v>110</v>
      </c>
    </row>
    <row r="25" spans="1:13" ht="20.100000000000001" customHeight="1" x14ac:dyDescent="0.2">
      <c r="A25" s="34">
        <v>18</v>
      </c>
      <c r="B25" s="42" t="s">
        <v>61</v>
      </c>
      <c r="C25" s="36" t="s">
        <v>60</v>
      </c>
      <c r="D25" s="36" t="s">
        <v>19</v>
      </c>
      <c r="E25" s="61" t="s">
        <v>16</v>
      </c>
      <c r="F25" s="39">
        <f>0.71*320</f>
        <v>227.2</v>
      </c>
      <c r="G25" s="62">
        <v>4</v>
      </c>
      <c r="H25" s="61">
        <v>3</v>
      </c>
      <c r="I25" s="61" t="s">
        <v>17</v>
      </c>
      <c r="J25" s="61">
        <v>3</v>
      </c>
      <c r="K25" s="61">
        <v>1</v>
      </c>
      <c r="L25" s="61"/>
      <c r="M25" s="63"/>
    </row>
    <row r="26" spans="1:13" ht="54" x14ac:dyDescent="0.2">
      <c r="A26" s="34">
        <v>19</v>
      </c>
      <c r="B26" s="42" t="s">
        <v>26</v>
      </c>
      <c r="C26" s="36" t="s">
        <v>81</v>
      </c>
      <c r="D26" s="36" t="s">
        <v>19</v>
      </c>
      <c r="E26" s="61" t="s">
        <v>18</v>
      </c>
      <c r="F26" s="39">
        <f>37*320</f>
        <v>11840</v>
      </c>
      <c r="G26" s="62">
        <v>4</v>
      </c>
      <c r="H26" s="61">
        <v>3</v>
      </c>
      <c r="I26" s="61" t="s">
        <v>97</v>
      </c>
      <c r="J26" s="61">
        <v>1</v>
      </c>
      <c r="K26" s="61"/>
      <c r="L26" s="61"/>
      <c r="M26" s="63" t="s">
        <v>106</v>
      </c>
    </row>
    <row r="27" spans="1:13" ht="20.100000000000001" customHeight="1" x14ac:dyDescent="0.2">
      <c r="A27" s="34">
        <v>20</v>
      </c>
      <c r="B27" s="42" t="s">
        <v>27</v>
      </c>
      <c r="C27" s="36" t="s">
        <v>72</v>
      </c>
      <c r="D27" s="36" t="s">
        <v>19</v>
      </c>
      <c r="E27" s="61" t="s">
        <v>16</v>
      </c>
      <c r="F27" s="39">
        <f>23*320</f>
        <v>7360</v>
      </c>
      <c r="G27" s="62">
        <v>4</v>
      </c>
      <c r="H27" s="61">
        <v>2</v>
      </c>
      <c r="I27" s="61" t="s">
        <v>17</v>
      </c>
      <c r="J27" s="61">
        <v>2</v>
      </c>
      <c r="K27" s="61"/>
      <c r="L27" s="61"/>
      <c r="M27" s="63"/>
    </row>
    <row r="28" spans="1:13" ht="20.100000000000001" customHeight="1" x14ac:dyDescent="0.2">
      <c r="A28" s="34">
        <v>21</v>
      </c>
      <c r="B28" s="42" t="s">
        <v>28</v>
      </c>
      <c r="C28" s="36" t="s">
        <v>82</v>
      </c>
      <c r="D28" s="36" t="s">
        <v>19</v>
      </c>
      <c r="E28" s="61" t="s">
        <v>16</v>
      </c>
      <c r="F28" s="39">
        <v>2299</v>
      </c>
      <c r="G28" s="62">
        <v>4</v>
      </c>
      <c r="H28" s="61">
        <v>2</v>
      </c>
      <c r="I28" s="61" t="s">
        <v>17</v>
      </c>
      <c r="J28" s="61">
        <v>1</v>
      </c>
      <c r="K28" s="61">
        <v>1</v>
      </c>
      <c r="L28" s="61"/>
      <c r="M28" s="63" t="s">
        <v>102</v>
      </c>
    </row>
    <row r="29" spans="1:13" x14ac:dyDescent="0.2">
      <c r="A29" s="34">
        <v>22</v>
      </c>
      <c r="B29" s="42" t="s">
        <v>63</v>
      </c>
      <c r="C29" s="36" t="s">
        <v>62</v>
      </c>
      <c r="D29" s="36" t="s">
        <v>19</v>
      </c>
      <c r="E29" s="61" t="s">
        <v>16</v>
      </c>
      <c r="F29" s="39">
        <f>4*320</f>
        <v>1280</v>
      </c>
      <c r="G29" s="62">
        <v>4</v>
      </c>
      <c r="H29" s="61">
        <v>2</v>
      </c>
      <c r="I29" s="61" t="s">
        <v>17</v>
      </c>
      <c r="J29" s="61">
        <v>2</v>
      </c>
      <c r="K29" s="61">
        <v>1</v>
      </c>
      <c r="L29" s="61"/>
      <c r="M29" s="63"/>
    </row>
    <row r="30" spans="1:13" ht="20.100000000000001" customHeight="1" x14ac:dyDescent="0.2">
      <c r="A30" s="34">
        <v>23</v>
      </c>
      <c r="B30" s="42" t="s">
        <v>29</v>
      </c>
      <c r="C30" s="36" t="s">
        <v>83</v>
      </c>
      <c r="D30" s="36" t="s">
        <v>19</v>
      </c>
      <c r="E30" s="61" t="s">
        <v>16</v>
      </c>
      <c r="F30" s="39">
        <f>21*320</f>
        <v>6720</v>
      </c>
      <c r="G30" s="62">
        <v>4</v>
      </c>
      <c r="H30" s="61">
        <v>3</v>
      </c>
      <c r="I30" s="61" t="s">
        <v>17</v>
      </c>
      <c r="J30" s="61">
        <v>2</v>
      </c>
      <c r="K30" s="61"/>
      <c r="L30" s="61">
        <v>1</v>
      </c>
      <c r="M30" s="63"/>
    </row>
    <row r="31" spans="1:13" ht="20.100000000000001" customHeight="1" x14ac:dyDescent="0.2">
      <c r="A31" s="34">
        <v>24</v>
      </c>
      <c r="B31" s="42" t="s">
        <v>30</v>
      </c>
      <c r="C31" s="36" t="s">
        <v>72</v>
      </c>
      <c r="D31" s="36" t="s">
        <v>19</v>
      </c>
      <c r="E31" s="61" t="s">
        <v>16</v>
      </c>
      <c r="F31" s="39">
        <f>30*320</f>
        <v>9600</v>
      </c>
      <c r="G31" s="62">
        <v>4</v>
      </c>
      <c r="H31" s="61">
        <v>2</v>
      </c>
      <c r="I31" s="61" t="s">
        <v>17</v>
      </c>
      <c r="J31" s="61">
        <v>2</v>
      </c>
      <c r="K31" s="61"/>
      <c r="L31" s="61"/>
      <c r="M31" s="63"/>
    </row>
    <row r="32" spans="1:13" ht="20.100000000000001" customHeight="1" x14ac:dyDescent="0.2">
      <c r="A32" s="34">
        <v>25</v>
      </c>
      <c r="B32" s="43" t="s">
        <v>90</v>
      </c>
      <c r="C32" s="36" t="s">
        <v>64</v>
      </c>
      <c r="D32" s="36" t="s">
        <v>19</v>
      </c>
      <c r="E32" s="61" t="s">
        <v>16</v>
      </c>
      <c r="F32" s="39">
        <v>1562</v>
      </c>
      <c r="G32" s="62">
        <v>4</v>
      </c>
      <c r="H32" s="61">
        <v>2</v>
      </c>
      <c r="I32" s="61" t="s">
        <v>17</v>
      </c>
      <c r="J32" s="61">
        <v>1</v>
      </c>
      <c r="K32" s="61">
        <v>1</v>
      </c>
      <c r="L32" s="61"/>
      <c r="M32" s="63" t="s">
        <v>102</v>
      </c>
    </row>
    <row r="33" spans="1:13" ht="20.100000000000001" customHeight="1" x14ac:dyDescent="0.2">
      <c r="A33" s="34">
        <v>26</v>
      </c>
      <c r="B33" s="35" t="s">
        <v>67</v>
      </c>
      <c r="C33" s="36" t="s">
        <v>65</v>
      </c>
      <c r="D33" s="36" t="s">
        <v>96</v>
      </c>
      <c r="E33" s="61" t="s">
        <v>16</v>
      </c>
      <c r="F33" s="39">
        <v>248</v>
      </c>
      <c r="G33" s="62">
        <v>4</v>
      </c>
      <c r="H33" s="61">
        <v>2</v>
      </c>
      <c r="I33" s="61" t="s">
        <v>17</v>
      </c>
      <c r="J33" s="61"/>
      <c r="K33" s="61"/>
      <c r="L33" s="61">
        <v>2</v>
      </c>
      <c r="M33" s="63"/>
    </row>
    <row r="34" spans="1:13" ht="20.100000000000001" customHeight="1" x14ac:dyDescent="0.2">
      <c r="A34" s="34">
        <v>27</v>
      </c>
      <c r="B34" s="35" t="s">
        <v>66</v>
      </c>
      <c r="C34" s="36" t="s">
        <v>65</v>
      </c>
      <c r="D34" s="36" t="s">
        <v>19</v>
      </c>
      <c r="E34" s="61" t="s">
        <v>16</v>
      </c>
      <c r="F34" s="39">
        <v>63</v>
      </c>
      <c r="G34" s="62">
        <v>4</v>
      </c>
      <c r="H34" s="61">
        <v>2</v>
      </c>
      <c r="I34" s="61" t="s">
        <v>17</v>
      </c>
      <c r="J34" s="61">
        <v>1</v>
      </c>
      <c r="K34" s="61"/>
      <c r="L34" s="61"/>
      <c r="M34" s="63" t="s">
        <v>102</v>
      </c>
    </row>
    <row r="35" spans="1:13" ht="20.100000000000001" customHeight="1" x14ac:dyDescent="0.2">
      <c r="A35" s="34">
        <v>28</v>
      </c>
      <c r="B35" s="35" t="s">
        <v>68</v>
      </c>
      <c r="C35" s="36" t="s">
        <v>69</v>
      </c>
      <c r="D35" s="36" t="s">
        <v>19</v>
      </c>
      <c r="E35" s="61" t="s">
        <v>16</v>
      </c>
      <c r="F35" s="39">
        <v>739</v>
      </c>
      <c r="G35" s="62">
        <v>4</v>
      </c>
      <c r="H35" s="61">
        <v>2</v>
      </c>
      <c r="I35" s="61" t="s">
        <v>17</v>
      </c>
      <c r="J35" s="61">
        <v>1</v>
      </c>
      <c r="K35" s="61">
        <v>1</v>
      </c>
      <c r="L35" s="61"/>
      <c r="M35" s="63" t="s">
        <v>102</v>
      </c>
    </row>
    <row r="36" spans="1:13" ht="20.100000000000001" customHeight="1" x14ac:dyDescent="0.2">
      <c r="A36" s="34">
        <v>29</v>
      </c>
      <c r="B36" s="35" t="s">
        <v>70</v>
      </c>
      <c r="C36" s="36" t="s">
        <v>69</v>
      </c>
      <c r="D36" s="36" t="s">
        <v>19</v>
      </c>
      <c r="E36" s="61" t="s">
        <v>16</v>
      </c>
      <c r="F36" s="39">
        <f>9.34*320</f>
        <v>2988.8</v>
      </c>
      <c r="G36" s="62">
        <v>4</v>
      </c>
      <c r="H36" s="61">
        <v>2</v>
      </c>
      <c r="I36" s="61" t="s">
        <v>17</v>
      </c>
      <c r="J36" s="61">
        <v>1</v>
      </c>
      <c r="K36" s="61"/>
      <c r="L36" s="61"/>
      <c r="M36" s="63"/>
    </row>
    <row r="37" spans="1:13" ht="20.100000000000001" customHeight="1" x14ac:dyDescent="0.2">
      <c r="A37" s="34">
        <v>30</v>
      </c>
      <c r="B37" s="42" t="s">
        <v>31</v>
      </c>
      <c r="C37" s="36" t="s">
        <v>84</v>
      </c>
      <c r="D37" s="36" t="s">
        <v>91</v>
      </c>
      <c r="E37" s="61" t="s">
        <v>16</v>
      </c>
      <c r="F37" s="39">
        <f>3.77*320</f>
        <v>1206.4000000000001</v>
      </c>
      <c r="G37" s="62">
        <v>4</v>
      </c>
      <c r="H37" s="61">
        <v>2</v>
      </c>
      <c r="I37" s="61" t="s">
        <v>17</v>
      </c>
      <c r="J37" s="61">
        <v>2</v>
      </c>
      <c r="K37" s="61">
        <v>2</v>
      </c>
      <c r="L37" s="61"/>
      <c r="M37" s="63"/>
    </row>
    <row r="38" spans="1:13" ht="20.100000000000001" customHeight="1" x14ac:dyDescent="0.2">
      <c r="A38" s="34">
        <v>31</v>
      </c>
      <c r="B38" s="42" t="s">
        <v>32</v>
      </c>
      <c r="C38" s="36" t="s">
        <v>85</v>
      </c>
      <c r="D38" s="36" t="s">
        <v>91</v>
      </c>
      <c r="E38" s="61" t="s">
        <v>18</v>
      </c>
      <c r="F38" s="39">
        <v>320</v>
      </c>
      <c r="G38" s="62">
        <v>4</v>
      </c>
      <c r="H38" s="61">
        <v>3</v>
      </c>
      <c r="I38" s="61" t="s">
        <v>17</v>
      </c>
      <c r="J38" s="61"/>
      <c r="K38" s="61"/>
      <c r="L38" s="61">
        <v>3</v>
      </c>
      <c r="M38" s="63"/>
    </row>
    <row r="39" spans="1:13" ht="36" x14ac:dyDescent="0.2">
      <c r="A39" s="34">
        <v>32</v>
      </c>
      <c r="B39" s="43" t="s">
        <v>41</v>
      </c>
      <c r="C39" s="36" t="s">
        <v>71</v>
      </c>
      <c r="D39" s="47" t="s">
        <v>92</v>
      </c>
      <c r="E39" s="61" t="s">
        <v>16</v>
      </c>
      <c r="F39" s="39">
        <v>4112</v>
      </c>
      <c r="G39" s="62">
        <v>4</v>
      </c>
      <c r="H39" s="61">
        <v>3</v>
      </c>
      <c r="I39" s="61" t="s">
        <v>17</v>
      </c>
      <c r="J39" s="61"/>
      <c r="K39" s="61"/>
      <c r="L39" s="61">
        <v>2</v>
      </c>
      <c r="M39" s="63" t="s">
        <v>102</v>
      </c>
    </row>
    <row r="40" spans="1:13" ht="36" x14ac:dyDescent="0.2">
      <c r="A40" s="34">
        <v>33</v>
      </c>
      <c r="B40" s="42" t="s">
        <v>33</v>
      </c>
      <c r="C40" s="36" t="s">
        <v>86</v>
      </c>
      <c r="D40" s="36" t="s">
        <v>93</v>
      </c>
      <c r="E40" s="61" t="s">
        <v>16</v>
      </c>
      <c r="F40" s="39">
        <f>2*320</f>
        <v>640</v>
      </c>
      <c r="G40" s="62">
        <v>4</v>
      </c>
      <c r="H40" s="61">
        <v>4</v>
      </c>
      <c r="I40" s="61" t="s">
        <v>17</v>
      </c>
      <c r="J40" s="61">
        <v>1</v>
      </c>
      <c r="K40" s="61">
        <v>1</v>
      </c>
      <c r="L40" s="61"/>
      <c r="M40" s="63" t="s">
        <v>107</v>
      </c>
    </row>
    <row r="41" spans="1:13" ht="36" x14ac:dyDescent="0.2">
      <c r="A41" s="34">
        <v>34</v>
      </c>
      <c r="B41" s="43" t="s">
        <v>127</v>
      </c>
      <c r="C41" s="36" t="s">
        <v>72</v>
      </c>
      <c r="D41" s="47" t="s">
        <v>94</v>
      </c>
      <c r="E41" s="61" t="s">
        <v>16</v>
      </c>
      <c r="F41" s="39">
        <f>3*320</f>
        <v>960</v>
      </c>
      <c r="G41" s="62">
        <v>4</v>
      </c>
      <c r="H41" s="61">
        <v>3</v>
      </c>
      <c r="I41" s="61" t="s">
        <v>17</v>
      </c>
      <c r="J41" s="61">
        <v>2</v>
      </c>
      <c r="K41" s="61">
        <v>2</v>
      </c>
      <c r="L41" s="61">
        <v>1</v>
      </c>
      <c r="M41" s="63" t="s">
        <v>108</v>
      </c>
    </row>
    <row r="42" spans="1:13" ht="34.5" customHeight="1" x14ac:dyDescent="0.2">
      <c r="A42" s="34">
        <v>35</v>
      </c>
      <c r="B42" s="43" t="s">
        <v>42</v>
      </c>
      <c r="C42" s="36" t="s">
        <v>87</v>
      </c>
      <c r="D42" s="47" t="s">
        <v>92</v>
      </c>
      <c r="E42" s="61" t="s">
        <v>16</v>
      </c>
      <c r="F42" s="39">
        <f>10*320</f>
        <v>3200</v>
      </c>
      <c r="G42" s="62">
        <v>4</v>
      </c>
      <c r="H42" s="61">
        <v>3</v>
      </c>
      <c r="I42" s="61" t="s">
        <v>17</v>
      </c>
      <c r="J42" s="61">
        <v>2</v>
      </c>
      <c r="K42" s="61"/>
      <c r="L42" s="61">
        <v>1</v>
      </c>
      <c r="M42" s="63"/>
    </row>
    <row r="43" spans="1:13" ht="15" customHeight="1" x14ac:dyDescent="0.2">
      <c r="A43" s="34">
        <v>36</v>
      </c>
      <c r="B43" s="42" t="s">
        <v>34</v>
      </c>
      <c r="C43" s="36" t="s">
        <v>73</v>
      </c>
      <c r="D43" s="36" t="s">
        <v>93</v>
      </c>
      <c r="E43" s="61" t="s">
        <v>16</v>
      </c>
      <c r="F43" s="39">
        <v>1616</v>
      </c>
      <c r="G43" s="62">
        <v>4</v>
      </c>
      <c r="H43" s="61">
        <v>4</v>
      </c>
      <c r="I43" s="61" t="s">
        <v>17</v>
      </c>
      <c r="J43" s="61"/>
      <c r="K43" s="61"/>
      <c r="L43" s="61"/>
      <c r="M43" s="63" t="s">
        <v>159</v>
      </c>
    </row>
    <row r="44" spans="1:13" ht="20.100000000000001" customHeight="1" x14ac:dyDescent="0.2">
      <c r="A44" s="34">
        <v>37</v>
      </c>
      <c r="B44" s="42" t="s">
        <v>74</v>
      </c>
      <c r="C44" s="36" t="s">
        <v>75</v>
      </c>
      <c r="D44" s="36" t="s">
        <v>93</v>
      </c>
      <c r="E44" s="61" t="s">
        <v>16</v>
      </c>
      <c r="F44" s="39">
        <f>4.92*320</f>
        <v>1574.4</v>
      </c>
      <c r="G44" s="62">
        <v>4</v>
      </c>
      <c r="H44" s="61">
        <v>4</v>
      </c>
      <c r="I44" s="61" t="s">
        <v>17</v>
      </c>
      <c r="J44" s="61">
        <v>1</v>
      </c>
      <c r="K44" s="61">
        <v>1</v>
      </c>
      <c r="L44" s="61">
        <v>2</v>
      </c>
      <c r="M44" s="63" t="s">
        <v>102</v>
      </c>
    </row>
    <row r="45" spans="1:13" ht="20.100000000000001" customHeight="1" x14ac:dyDescent="0.2">
      <c r="A45" s="34">
        <v>38</v>
      </c>
      <c r="B45" s="42" t="s">
        <v>35</v>
      </c>
      <c r="C45" s="36" t="s">
        <v>88</v>
      </c>
      <c r="D45" s="36" t="s">
        <v>95</v>
      </c>
      <c r="E45" s="61" t="s">
        <v>16</v>
      </c>
      <c r="F45" s="39">
        <f>2.21*320</f>
        <v>707.2</v>
      </c>
      <c r="G45" s="62">
        <v>4</v>
      </c>
      <c r="H45" s="61">
        <v>3</v>
      </c>
      <c r="I45" s="61" t="s">
        <v>17</v>
      </c>
      <c r="J45" s="61"/>
      <c r="K45" s="61"/>
      <c r="L45" s="61">
        <v>2</v>
      </c>
      <c r="M45" s="63" t="s">
        <v>102</v>
      </c>
    </row>
    <row r="46" spans="1:13" ht="20.100000000000001" customHeight="1" x14ac:dyDescent="0.2">
      <c r="A46" s="34">
        <v>39</v>
      </c>
      <c r="B46" s="42" t="s">
        <v>36</v>
      </c>
      <c r="C46" s="36" t="s">
        <v>88</v>
      </c>
      <c r="D46" s="36" t="s">
        <v>95</v>
      </c>
      <c r="E46" s="61" t="s">
        <v>16</v>
      </c>
      <c r="F46" s="39">
        <f>1.54*320</f>
        <v>492.8</v>
      </c>
      <c r="G46" s="62">
        <v>4</v>
      </c>
      <c r="H46" s="61">
        <v>3</v>
      </c>
      <c r="I46" s="61" t="s">
        <v>17</v>
      </c>
      <c r="J46" s="61">
        <v>1</v>
      </c>
      <c r="K46" s="61">
        <v>1</v>
      </c>
      <c r="L46" s="61">
        <v>1</v>
      </c>
      <c r="M46" s="63" t="s">
        <v>109</v>
      </c>
    </row>
    <row r="47" spans="1:13" ht="20.100000000000001" customHeight="1" x14ac:dyDescent="0.2">
      <c r="A47" s="34">
        <v>40</v>
      </c>
      <c r="B47" s="42" t="s">
        <v>37</v>
      </c>
      <c r="C47" s="36" t="s">
        <v>88</v>
      </c>
      <c r="D47" s="36" t="s">
        <v>95</v>
      </c>
      <c r="E47" s="61" t="s">
        <v>16</v>
      </c>
      <c r="F47" s="39">
        <f>0.59*320</f>
        <v>188.79999999999998</v>
      </c>
      <c r="G47" s="62">
        <v>4</v>
      </c>
      <c r="H47" s="61">
        <v>3</v>
      </c>
      <c r="I47" s="61" t="s">
        <v>17</v>
      </c>
      <c r="J47" s="61">
        <v>1</v>
      </c>
      <c r="K47" s="61">
        <v>2</v>
      </c>
      <c r="L47" s="61"/>
      <c r="M47" s="63"/>
    </row>
    <row r="48" spans="1:13" ht="15" customHeight="1" x14ac:dyDescent="0.2">
      <c r="A48" s="34">
        <v>41</v>
      </c>
      <c r="B48" s="42" t="s">
        <v>38</v>
      </c>
      <c r="C48" s="36" t="s">
        <v>88</v>
      </c>
      <c r="D48" s="36" t="s">
        <v>95</v>
      </c>
      <c r="E48" s="61" t="s">
        <v>16</v>
      </c>
      <c r="F48" s="39">
        <f>2*320</f>
        <v>640</v>
      </c>
      <c r="G48" s="62">
        <v>4</v>
      </c>
      <c r="H48" s="61">
        <v>3</v>
      </c>
      <c r="I48" s="61" t="s">
        <v>17</v>
      </c>
      <c r="J48" s="61"/>
      <c r="K48" s="61"/>
      <c r="L48" s="61">
        <v>2</v>
      </c>
      <c r="M48" s="63" t="s">
        <v>102</v>
      </c>
    </row>
    <row r="49" spans="1:13" ht="20.100000000000001" customHeight="1" x14ac:dyDescent="0.2">
      <c r="A49" s="34">
        <v>42</v>
      </c>
      <c r="B49" s="42" t="s">
        <v>39</v>
      </c>
      <c r="C49" s="36" t="s">
        <v>89</v>
      </c>
      <c r="D49" s="36" t="s">
        <v>91</v>
      </c>
      <c r="E49" s="61" t="s">
        <v>16</v>
      </c>
      <c r="F49" s="39">
        <f>9.8*320</f>
        <v>3136</v>
      </c>
      <c r="G49" s="62">
        <v>4</v>
      </c>
      <c r="H49" s="61">
        <v>4</v>
      </c>
      <c r="I49" s="61" t="s">
        <v>17</v>
      </c>
      <c r="J49" s="61">
        <v>3</v>
      </c>
      <c r="K49" s="61">
        <v>1</v>
      </c>
      <c r="L49" s="61"/>
      <c r="M49" s="64"/>
    </row>
    <row r="50" spans="1:13" ht="20.100000000000001" customHeight="1" thickBot="1" x14ac:dyDescent="0.25">
      <c r="A50" s="49">
        <v>43</v>
      </c>
      <c r="B50" s="50" t="s">
        <v>76</v>
      </c>
      <c r="C50" s="51" t="s">
        <v>77</v>
      </c>
      <c r="D50" s="51"/>
      <c r="E50" s="65" t="s">
        <v>18</v>
      </c>
      <c r="F50" s="54"/>
      <c r="G50" s="66">
        <v>4</v>
      </c>
      <c r="H50" s="65">
        <v>3</v>
      </c>
      <c r="I50" s="65" t="s">
        <v>17</v>
      </c>
      <c r="J50" s="65"/>
      <c r="K50" s="65"/>
      <c r="L50" s="65">
        <v>3</v>
      </c>
      <c r="M50" s="67"/>
    </row>
    <row r="51" spans="1:13" s="3" customFormat="1" x14ac:dyDescent="0.2">
      <c r="A51" s="1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</row>
    <row r="52" spans="1:13" s="3" customFormat="1" x14ac:dyDescent="0.2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</row>
    <row r="53" spans="1:13" s="3" customFormat="1" x14ac:dyDescent="0.2">
      <c r="A53" s="1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</row>
    <row r="54" spans="1:13" s="3" customFormat="1" x14ac:dyDescent="0.2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</row>
    <row r="55" spans="1:13" s="3" customFormat="1" x14ac:dyDescent="0.2">
      <c r="A55" s="1"/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</row>
    <row r="56" spans="1:13" s="3" customFormat="1" x14ac:dyDescent="0.2">
      <c r="A56" s="1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</row>
    <row r="57" spans="1:13" s="3" customFormat="1" x14ac:dyDescent="0.2">
      <c r="A57" s="1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</row>
    <row r="58" spans="1:13" s="3" customFormat="1" x14ac:dyDescent="0.2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</row>
    <row r="59" spans="1:13" s="3" customFormat="1" x14ac:dyDescent="0.2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</row>
    <row r="60" spans="1:13" s="3" customFormat="1" x14ac:dyDescent="0.2">
      <c r="A60" s="1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</row>
    <row r="61" spans="1:13" s="3" customFormat="1" x14ac:dyDescent="0.2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</row>
    <row r="62" spans="1:13" s="3" customFormat="1" x14ac:dyDescent="0.2">
      <c r="A62" s="1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</row>
    <row r="63" spans="1:13" s="3" customFormat="1" x14ac:dyDescent="0.2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</row>
    <row r="64" spans="1:13" s="3" customFormat="1" x14ac:dyDescent="0.2">
      <c r="A64" s="1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</row>
    <row r="65" spans="1:12" s="3" customFormat="1" x14ac:dyDescent="0.2">
      <c r="A65" s="1"/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</row>
    <row r="66" spans="1:12" s="3" customFormat="1" x14ac:dyDescent="0.2">
      <c r="A66" s="1"/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</row>
    <row r="67" spans="1:12" s="3" customFormat="1" x14ac:dyDescent="0.2">
      <c r="A67" s="1"/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</row>
    <row r="68" spans="1:12" s="3" customFormat="1" x14ac:dyDescent="0.2">
      <c r="A68" s="1"/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</row>
    <row r="69" spans="1:12" s="3" customFormat="1" x14ac:dyDescent="0.2">
      <c r="A69" s="1"/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</row>
    <row r="70" spans="1:12" s="3" customFormat="1" x14ac:dyDescent="0.2">
      <c r="A70" s="1"/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</row>
    <row r="71" spans="1:12" s="3" customFormat="1" x14ac:dyDescent="0.2">
      <c r="A71" s="1"/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</row>
    <row r="72" spans="1:12" s="3" customFormat="1" x14ac:dyDescent="0.2">
      <c r="A72" s="1"/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</row>
    <row r="73" spans="1:12" s="3" customFormat="1" x14ac:dyDescent="0.2">
      <c r="A73" s="1"/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</row>
    <row r="74" spans="1:12" s="3" customFormat="1" x14ac:dyDescent="0.2">
      <c r="A74" s="1"/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</row>
    <row r="75" spans="1:12" s="3" customFormat="1" x14ac:dyDescent="0.2">
      <c r="A75" s="1"/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</row>
    <row r="76" spans="1:12" s="3" customFormat="1" x14ac:dyDescent="0.2">
      <c r="A76" s="1"/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</row>
    <row r="77" spans="1:12" s="3" customFormat="1" x14ac:dyDescent="0.2">
      <c r="A77" s="1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</row>
    <row r="78" spans="1:12" s="3" customFormat="1" x14ac:dyDescent="0.2">
      <c r="A78" s="1"/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</row>
    <row r="79" spans="1:12" s="3" customFormat="1" x14ac:dyDescent="0.2">
      <c r="A79" s="1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</row>
    <row r="80" spans="1:12" s="3" customFormat="1" x14ac:dyDescent="0.2">
      <c r="A80" s="1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</row>
    <row r="81" spans="1:12" s="3" customFormat="1" x14ac:dyDescent="0.2">
      <c r="A81" s="1"/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</row>
    <row r="82" spans="1:12" s="3" customFormat="1" x14ac:dyDescent="0.2">
      <c r="A82" s="1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</row>
    <row r="83" spans="1:12" s="3" customFormat="1" x14ac:dyDescent="0.2">
      <c r="A83" s="1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</row>
    <row r="84" spans="1:12" s="3" customFormat="1" x14ac:dyDescent="0.2">
      <c r="A84" s="1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</row>
    <row r="85" spans="1:12" s="3" customFormat="1" x14ac:dyDescent="0.2">
      <c r="A85" s="1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</row>
    <row r="86" spans="1:12" s="3" customFormat="1" x14ac:dyDescent="0.2">
      <c r="A86" s="1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</row>
    <row r="87" spans="1:12" s="3" customFormat="1" x14ac:dyDescent="0.2">
      <c r="A87" s="1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</row>
    <row r="88" spans="1:12" s="3" customFormat="1" x14ac:dyDescent="0.2">
      <c r="A88" s="1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</row>
    <row r="89" spans="1:12" s="3" customFormat="1" x14ac:dyDescent="0.2">
      <c r="A89" s="1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</row>
    <row r="90" spans="1:12" s="3" customFormat="1" x14ac:dyDescent="0.2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</row>
    <row r="91" spans="1:12" s="3" customFormat="1" x14ac:dyDescent="0.2">
      <c r="A91" s="1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</row>
    <row r="92" spans="1:12" s="3" customFormat="1" x14ac:dyDescent="0.2">
      <c r="A92" s="1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</row>
    <row r="93" spans="1:12" s="3" customFormat="1" x14ac:dyDescent="0.2">
      <c r="A93" s="1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</row>
    <row r="94" spans="1:12" s="3" customFormat="1" x14ac:dyDescent="0.2">
      <c r="A94" s="1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</row>
    <row r="95" spans="1:12" s="3" customFormat="1" x14ac:dyDescent="0.2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</row>
    <row r="96" spans="1:12" s="3" customFormat="1" x14ac:dyDescent="0.2">
      <c r="A96" s="1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</row>
    <row r="97" spans="1:12" s="3" customFormat="1" x14ac:dyDescent="0.2">
      <c r="A97" s="1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</row>
    <row r="98" spans="1:12" s="3" customFormat="1" x14ac:dyDescent="0.2">
      <c r="A98" s="1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</row>
    <row r="99" spans="1:12" s="3" customFormat="1" x14ac:dyDescent="0.2">
      <c r="A99" s="1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</row>
    <row r="100" spans="1:12" s="3" customFormat="1" x14ac:dyDescent="0.2">
      <c r="A100" s="1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</row>
    <row r="101" spans="1:12" s="3" customFormat="1" x14ac:dyDescent="0.2">
      <c r="A101" s="1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</row>
    <row r="102" spans="1:12" s="3" customFormat="1" x14ac:dyDescent="0.2">
      <c r="A102" s="1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</row>
    <row r="103" spans="1:12" s="3" customFormat="1" x14ac:dyDescent="0.2">
      <c r="A103" s="1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</row>
    <row r="104" spans="1:12" s="3" customFormat="1" x14ac:dyDescent="0.2">
      <c r="A104" s="1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</row>
    <row r="105" spans="1:12" s="3" customFormat="1" x14ac:dyDescent="0.2">
      <c r="A105" s="1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</row>
    <row r="106" spans="1:12" s="3" customFormat="1" x14ac:dyDescent="0.2">
      <c r="A106" s="1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</row>
    <row r="107" spans="1:12" s="3" customFormat="1" x14ac:dyDescent="0.2">
      <c r="A107" s="1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</row>
    <row r="108" spans="1:12" s="3" customFormat="1" x14ac:dyDescent="0.2">
      <c r="A108" s="1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</row>
    <row r="109" spans="1:12" s="3" customFormat="1" x14ac:dyDescent="0.2">
      <c r="A109" s="1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</row>
    <row r="110" spans="1:12" s="3" customFormat="1" x14ac:dyDescent="0.2">
      <c r="A110" s="1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</row>
    <row r="111" spans="1:12" s="3" customFormat="1" x14ac:dyDescent="0.2">
      <c r="A111" s="1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</row>
    <row r="112" spans="1:12" s="3" customFormat="1" x14ac:dyDescent="0.2">
      <c r="A112" s="1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</row>
    <row r="113" spans="1:12" s="3" customFormat="1" x14ac:dyDescent="0.2">
      <c r="A113" s="1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</row>
    <row r="114" spans="1:12" s="3" customFormat="1" x14ac:dyDescent="0.2">
      <c r="A114" s="1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</row>
    <row r="115" spans="1:12" s="3" customFormat="1" x14ac:dyDescent="0.2">
      <c r="A115" s="1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</row>
    <row r="116" spans="1:12" s="3" customFormat="1" x14ac:dyDescent="0.2">
      <c r="A116" s="1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</row>
    <row r="117" spans="1:12" s="3" customFormat="1" x14ac:dyDescent="0.2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</row>
    <row r="118" spans="1:12" s="3" customFormat="1" x14ac:dyDescent="0.2">
      <c r="A118" s="1"/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</row>
    <row r="119" spans="1:12" s="3" customFormat="1" x14ac:dyDescent="0.2">
      <c r="A119" s="1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</row>
    <row r="120" spans="1:12" s="3" customFormat="1" x14ac:dyDescent="0.2">
      <c r="A120" s="1"/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</row>
    <row r="121" spans="1:12" s="3" customFormat="1" x14ac:dyDescent="0.2">
      <c r="A121" s="1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</row>
    <row r="122" spans="1:12" s="3" customFormat="1" x14ac:dyDescent="0.2">
      <c r="A122" s="1"/>
      <c r="B122" s="1"/>
      <c r="C122" s="1"/>
      <c r="D122" s="1"/>
      <c r="E122" s="2"/>
      <c r="F122" s="2"/>
      <c r="G122" s="2"/>
      <c r="H122" s="2"/>
      <c r="I122" s="2"/>
      <c r="J122" s="2"/>
      <c r="K122" s="2"/>
      <c r="L122" s="2"/>
    </row>
    <row r="123" spans="1:12" s="3" customFormat="1" x14ac:dyDescent="0.2">
      <c r="A123" s="1"/>
      <c r="B123" s="1"/>
      <c r="C123" s="1"/>
      <c r="D123" s="1"/>
      <c r="E123" s="2"/>
      <c r="F123" s="2"/>
      <c r="G123" s="2"/>
      <c r="H123" s="2"/>
      <c r="I123" s="2"/>
      <c r="J123" s="2"/>
      <c r="K123" s="2"/>
      <c r="L123" s="2"/>
    </row>
    <row r="124" spans="1:12" s="3" customFormat="1" x14ac:dyDescent="0.2">
      <c r="A124" s="1"/>
      <c r="B124" s="1"/>
      <c r="C124" s="1"/>
      <c r="D124" s="1"/>
      <c r="E124" s="2"/>
      <c r="F124" s="2"/>
      <c r="G124" s="2"/>
      <c r="H124" s="2"/>
      <c r="I124" s="2"/>
      <c r="J124" s="2"/>
      <c r="K124" s="2"/>
      <c r="L124" s="2"/>
    </row>
    <row r="125" spans="1:12" s="3" customFormat="1" x14ac:dyDescent="0.2">
      <c r="A125" s="1"/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</row>
    <row r="126" spans="1:12" s="3" customFormat="1" x14ac:dyDescent="0.2">
      <c r="A126" s="1"/>
      <c r="B126" s="1"/>
      <c r="C126" s="1"/>
      <c r="D126" s="1"/>
      <c r="E126" s="2"/>
      <c r="F126" s="2"/>
      <c r="G126" s="2"/>
      <c r="H126" s="2"/>
      <c r="I126" s="2"/>
      <c r="J126" s="2"/>
      <c r="K126" s="2"/>
      <c r="L126" s="2"/>
    </row>
    <row r="127" spans="1:12" s="3" customFormat="1" x14ac:dyDescent="0.2">
      <c r="A127" s="1"/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</row>
    <row r="128" spans="1:12" s="3" customFormat="1" x14ac:dyDescent="0.2">
      <c r="A128" s="1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</row>
    <row r="129" spans="1:12" s="3" customFormat="1" x14ac:dyDescent="0.2">
      <c r="A129" s="1"/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</row>
    <row r="130" spans="1:12" s="3" customFormat="1" x14ac:dyDescent="0.2">
      <c r="A130" s="1"/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</row>
    <row r="131" spans="1:12" s="3" customFormat="1" x14ac:dyDescent="0.2">
      <c r="A131" s="1"/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</row>
    <row r="132" spans="1:12" s="3" customFormat="1" x14ac:dyDescent="0.2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</row>
    <row r="133" spans="1:12" s="3" customFormat="1" x14ac:dyDescent="0.2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</row>
    <row r="134" spans="1:12" s="3" customFormat="1" x14ac:dyDescent="0.2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</row>
    <row r="135" spans="1:12" s="3" customFormat="1" x14ac:dyDescent="0.2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</row>
    <row r="136" spans="1:12" s="3" customFormat="1" x14ac:dyDescent="0.2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</row>
    <row r="137" spans="1:12" s="3" customFormat="1" x14ac:dyDescent="0.2">
      <c r="A137" s="1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2"/>
    </row>
    <row r="138" spans="1:12" s="3" customFormat="1" x14ac:dyDescent="0.2">
      <c r="A138" s="1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</row>
    <row r="139" spans="1:12" s="3" customFormat="1" x14ac:dyDescent="0.2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</row>
    <row r="140" spans="1:12" s="3" customFormat="1" x14ac:dyDescent="0.2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</row>
    <row r="141" spans="1:12" s="3" customFormat="1" x14ac:dyDescent="0.2">
      <c r="A141" s="1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</row>
    <row r="142" spans="1:12" s="3" customFormat="1" x14ac:dyDescent="0.2">
      <c r="A142" s="1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</row>
    <row r="143" spans="1:12" s="3" customFormat="1" x14ac:dyDescent="0.2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</row>
    <row r="144" spans="1:12" s="3" customFormat="1" x14ac:dyDescent="0.2">
      <c r="A144" s="1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</row>
    <row r="145" spans="1:12" s="3" customFormat="1" x14ac:dyDescent="0.2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</row>
    <row r="146" spans="1:12" s="3" customFormat="1" x14ac:dyDescent="0.2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</row>
  </sheetData>
  <phoneticPr fontId="3" type="noConversion"/>
  <pageMargins left="0.75" right="0.75" top="1" bottom="1" header="0.5" footer="0.5"/>
  <pageSetup paperSize="9" scale="37" orientation="landscape" r:id="rId1"/>
  <headerFooter alignWithMargins="0"/>
  <colBreaks count="1" manualBreakCount="1">
    <brk id="5" min="1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rightToLeft="1" tabSelected="1" workbookViewId="0">
      <selection activeCell="C11" sqref="C11"/>
    </sheetView>
  </sheetViews>
  <sheetFormatPr defaultColWidth="8.85546875" defaultRowHeight="18" x14ac:dyDescent="0.2"/>
  <cols>
    <col min="1" max="1" width="5.7109375" style="13" customWidth="1"/>
    <col min="2" max="2" width="23.85546875" style="14" bestFit="1" customWidth="1"/>
    <col min="3" max="3" width="33.7109375" style="14" bestFit="1" customWidth="1"/>
    <col min="4" max="4" width="14.7109375" style="14" bestFit="1" customWidth="1"/>
    <col min="5" max="12" width="8.7109375" style="14" customWidth="1"/>
    <col min="13" max="16384" width="8.85546875" style="8"/>
  </cols>
  <sheetData>
    <row r="1" spans="1:14" x14ac:dyDescent="0.2">
      <c r="A1" s="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7"/>
    </row>
    <row r="2" spans="1:14" x14ac:dyDescent="0.2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7"/>
      <c r="N2" s="7"/>
    </row>
    <row r="3" spans="1:14" x14ac:dyDescent="0.2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7"/>
    </row>
    <row r="4" spans="1:14" ht="18.75" customHeight="1" x14ac:dyDescent="0.2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7"/>
    </row>
    <row r="5" spans="1:14" ht="18.75" customHeight="1" x14ac:dyDescent="0.2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7"/>
    </row>
    <row r="6" spans="1:14" x14ac:dyDescent="0.2">
      <c r="A6" s="15" t="s">
        <v>22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7"/>
      <c r="N6" s="7"/>
    </row>
    <row r="7" spans="1:14" x14ac:dyDescent="0.2">
      <c r="A7" s="15" t="s">
        <v>160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7"/>
      <c r="N7" s="7"/>
    </row>
    <row r="8" spans="1:14" ht="18.75" thickBot="1" x14ac:dyDescent="0.25">
      <c r="A8" s="15" t="s">
        <v>161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7"/>
      <c r="N8" s="7"/>
    </row>
    <row r="9" spans="1:14" s="13" customFormat="1" ht="60" customHeight="1" thickBot="1" x14ac:dyDescent="0.25">
      <c r="A9" s="17" t="s">
        <v>1</v>
      </c>
      <c r="B9" s="18" t="s">
        <v>0</v>
      </c>
      <c r="C9" s="18" t="s">
        <v>13</v>
      </c>
      <c r="D9" s="19" t="s">
        <v>170</v>
      </c>
      <c r="E9" s="20" t="s">
        <v>162</v>
      </c>
      <c r="F9" s="21" t="s">
        <v>163</v>
      </c>
      <c r="G9" s="18" t="s">
        <v>164</v>
      </c>
      <c r="H9" s="22" t="s">
        <v>165</v>
      </c>
      <c r="I9" s="23" t="s">
        <v>166</v>
      </c>
      <c r="J9" s="24" t="s">
        <v>167</v>
      </c>
      <c r="K9" s="24" t="s">
        <v>168</v>
      </c>
      <c r="L9" s="25" t="s">
        <v>169</v>
      </c>
      <c r="M9" s="6"/>
      <c r="N9" s="6"/>
    </row>
    <row r="10" spans="1:14" x14ac:dyDescent="0.2">
      <c r="A10" s="26">
        <v>1</v>
      </c>
      <c r="B10" s="27" t="s">
        <v>29</v>
      </c>
      <c r="C10" s="28" t="s">
        <v>19</v>
      </c>
      <c r="D10" s="29">
        <v>6720</v>
      </c>
      <c r="E10" s="30">
        <v>800</v>
      </c>
      <c r="F10" s="31">
        <v>400</v>
      </c>
      <c r="G10" s="31">
        <v>50</v>
      </c>
      <c r="H10" s="32">
        <v>15</v>
      </c>
      <c r="I10" s="33">
        <f>(1795+1900)/2</f>
        <v>1847.5</v>
      </c>
      <c r="J10" s="31"/>
      <c r="K10" s="31"/>
      <c r="L10" s="32"/>
      <c r="M10" s="7"/>
      <c r="N10" s="7"/>
    </row>
    <row r="11" spans="1:14" x14ac:dyDescent="0.2">
      <c r="A11" s="34">
        <v>2</v>
      </c>
      <c r="B11" s="35" t="s">
        <v>70</v>
      </c>
      <c r="C11" s="36" t="s">
        <v>19</v>
      </c>
      <c r="D11" s="37">
        <f>9.34*320</f>
        <v>2988.8</v>
      </c>
      <c r="E11" s="38">
        <v>800</v>
      </c>
      <c r="F11" s="39">
        <v>400</v>
      </c>
      <c r="G11" s="39">
        <v>50</v>
      </c>
      <c r="H11" s="40">
        <v>15</v>
      </c>
      <c r="I11" s="41">
        <f>(1517+1835)/2</f>
        <v>1676</v>
      </c>
      <c r="J11" s="39">
        <f>570</f>
        <v>570</v>
      </c>
      <c r="K11" s="39"/>
      <c r="L11" s="40"/>
      <c r="M11" s="7"/>
      <c r="N11" s="7"/>
    </row>
    <row r="12" spans="1:14" x14ac:dyDescent="0.2">
      <c r="A12" s="34">
        <v>3</v>
      </c>
      <c r="B12" s="42" t="s">
        <v>39</v>
      </c>
      <c r="C12" s="36" t="s">
        <v>91</v>
      </c>
      <c r="D12" s="37">
        <v>3136</v>
      </c>
      <c r="E12" s="38">
        <v>800</v>
      </c>
      <c r="F12" s="39">
        <v>400</v>
      </c>
      <c r="G12" s="39">
        <v>50</v>
      </c>
      <c r="H12" s="40">
        <v>15</v>
      </c>
      <c r="I12" s="41">
        <f>(2150+1584+2055+1120)/4</f>
        <v>1727.25</v>
      </c>
      <c r="J12" s="39"/>
      <c r="K12" s="39">
        <f>(173+187+147+185)/4</f>
        <v>173</v>
      </c>
      <c r="L12" s="40">
        <f>(45+34+41+19)/4</f>
        <v>34.75</v>
      </c>
      <c r="M12" s="7"/>
      <c r="N12" s="7"/>
    </row>
    <row r="13" spans="1:14" x14ac:dyDescent="0.2">
      <c r="A13" s="34">
        <v>4</v>
      </c>
      <c r="B13" s="35" t="s">
        <v>68</v>
      </c>
      <c r="C13" s="36" t="s">
        <v>19</v>
      </c>
      <c r="D13" s="37">
        <f>'דיווח דיגומים'!F35</f>
        <v>739</v>
      </c>
      <c r="E13" s="38">
        <v>800</v>
      </c>
      <c r="F13" s="39">
        <v>400</v>
      </c>
      <c r="G13" s="39">
        <v>50</v>
      </c>
      <c r="H13" s="40">
        <v>15</v>
      </c>
      <c r="I13" s="41">
        <f>44370</f>
        <v>44370</v>
      </c>
      <c r="J13" s="39">
        <f>10170</f>
        <v>10170</v>
      </c>
      <c r="K13" s="39"/>
      <c r="L13" s="40"/>
      <c r="M13" s="7"/>
      <c r="N13" s="7"/>
    </row>
    <row r="14" spans="1:14" ht="36" x14ac:dyDescent="0.2">
      <c r="A14" s="34">
        <v>5</v>
      </c>
      <c r="B14" s="43" t="s">
        <v>90</v>
      </c>
      <c r="C14" s="36" t="s">
        <v>19</v>
      </c>
      <c r="D14" s="37">
        <f>'דיווח דיגומים'!F32</f>
        <v>1562</v>
      </c>
      <c r="E14" s="38">
        <v>800</v>
      </c>
      <c r="F14" s="39">
        <v>400</v>
      </c>
      <c r="G14" s="39">
        <v>50</v>
      </c>
      <c r="H14" s="40">
        <v>15</v>
      </c>
      <c r="I14" s="41">
        <f>13864</f>
        <v>13864</v>
      </c>
      <c r="J14" s="39">
        <f>2235</f>
        <v>2235</v>
      </c>
      <c r="K14" s="39"/>
      <c r="L14" s="40"/>
      <c r="M14" s="7"/>
      <c r="N14" s="7"/>
    </row>
    <row r="15" spans="1:14" x14ac:dyDescent="0.2">
      <c r="A15" s="34">
        <v>6</v>
      </c>
      <c r="B15" s="35" t="s">
        <v>66</v>
      </c>
      <c r="C15" s="36" t="s">
        <v>19</v>
      </c>
      <c r="D15" s="37">
        <f>'דיווח דיגומים'!F34</f>
        <v>63</v>
      </c>
      <c r="E15" s="38">
        <v>800</v>
      </c>
      <c r="F15" s="39">
        <v>400</v>
      </c>
      <c r="G15" s="39">
        <v>50</v>
      </c>
      <c r="H15" s="40">
        <v>15</v>
      </c>
      <c r="I15" s="41">
        <f>1251</f>
        <v>1251</v>
      </c>
      <c r="J15" s="39"/>
      <c r="K15" s="39">
        <f>73</f>
        <v>73</v>
      </c>
      <c r="L15" s="40">
        <f>115</f>
        <v>115</v>
      </c>
      <c r="M15" s="7"/>
      <c r="N15" s="7"/>
    </row>
    <row r="16" spans="1:14" x14ac:dyDescent="0.2">
      <c r="A16" s="34">
        <v>7</v>
      </c>
      <c r="B16" s="42" t="s">
        <v>61</v>
      </c>
      <c r="C16" s="36" t="s">
        <v>19</v>
      </c>
      <c r="D16" s="37">
        <v>227</v>
      </c>
      <c r="E16" s="38">
        <v>800</v>
      </c>
      <c r="F16" s="39">
        <v>400</v>
      </c>
      <c r="G16" s="39">
        <v>50</v>
      </c>
      <c r="H16" s="40">
        <v>15</v>
      </c>
      <c r="I16" s="41">
        <f>(1749+880+1200)/3</f>
        <v>1276.3333333333333</v>
      </c>
      <c r="J16" s="36">
        <f>490</f>
        <v>490</v>
      </c>
      <c r="K16" s="36"/>
      <c r="L16" s="44"/>
      <c r="M16" s="7"/>
      <c r="N16" s="7"/>
    </row>
    <row r="17" spans="1:14" ht="36" x14ac:dyDescent="0.2">
      <c r="A17" s="34">
        <v>8</v>
      </c>
      <c r="B17" s="45" t="s">
        <v>47</v>
      </c>
      <c r="C17" s="36" t="s">
        <v>19</v>
      </c>
      <c r="D17" s="37">
        <v>259</v>
      </c>
      <c r="E17" s="38">
        <v>800</v>
      </c>
      <c r="F17" s="39">
        <v>400</v>
      </c>
      <c r="G17" s="39">
        <v>50</v>
      </c>
      <c r="H17" s="40">
        <v>15</v>
      </c>
      <c r="I17" s="41">
        <f>(6214+3465+3200)/3</f>
        <v>4293</v>
      </c>
      <c r="J17" s="39">
        <f>(1571+608+700)/3</f>
        <v>959.66666666666663</v>
      </c>
      <c r="K17" s="36"/>
      <c r="L17" s="44"/>
      <c r="M17" s="7"/>
      <c r="N17" s="7"/>
    </row>
    <row r="18" spans="1:14" x14ac:dyDescent="0.2">
      <c r="A18" s="34">
        <v>9</v>
      </c>
      <c r="B18" s="35" t="s">
        <v>45</v>
      </c>
      <c r="C18" s="36" t="s">
        <v>19</v>
      </c>
      <c r="D18" s="37">
        <v>416</v>
      </c>
      <c r="E18" s="38">
        <v>800</v>
      </c>
      <c r="F18" s="39">
        <v>400</v>
      </c>
      <c r="G18" s="39">
        <v>50</v>
      </c>
      <c r="H18" s="40">
        <v>15</v>
      </c>
      <c r="I18" s="41">
        <f>(3596+1107)/2</f>
        <v>2351.5</v>
      </c>
      <c r="J18" s="39">
        <f>941</f>
        <v>941</v>
      </c>
      <c r="K18" s="36"/>
      <c r="L18" s="44"/>
      <c r="M18" s="7"/>
      <c r="N18" s="7"/>
    </row>
    <row r="19" spans="1:14" x14ac:dyDescent="0.2">
      <c r="A19" s="34">
        <v>10</v>
      </c>
      <c r="B19" s="42" t="s">
        <v>80</v>
      </c>
      <c r="C19" s="36" t="s">
        <v>19</v>
      </c>
      <c r="D19" s="37">
        <v>413</v>
      </c>
      <c r="E19" s="38">
        <v>800</v>
      </c>
      <c r="F19" s="39">
        <v>400</v>
      </c>
      <c r="G19" s="39">
        <v>50</v>
      </c>
      <c r="H19" s="40">
        <v>15</v>
      </c>
      <c r="I19" s="41">
        <f>(955+1972+1240)/3</f>
        <v>1389</v>
      </c>
      <c r="J19" s="39">
        <f>1032</f>
        <v>1032</v>
      </c>
      <c r="K19" s="36"/>
      <c r="L19" s="44"/>
      <c r="M19" s="7"/>
      <c r="N19" s="7"/>
    </row>
    <row r="20" spans="1:14" x14ac:dyDescent="0.2">
      <c r="A20" s="34">
        <v>11</v>
      </c>
      <c r="B20" s="46" t="s">
        <v>58</v>
      </c>
      <c r="C20" s="36" t="s">
        <v>19</v>
      </c>
      <c r="D20" s="37">
        <v>355</v>
      </c>
      <c r="E20" s="38">
        <v>800</v>
      </c>
      <c r="F20" s="39">
        <v>400</v>
      </c>
      <c r="G20" s="39">
        <v>50</v>
      </c>
      <c r="H20" s="40">
        <v>15</v>
      </c>
      <c r="I20" s="41">
        <f>(1311+4040)/2</f>
        <v>2675.5</v>
      </c>
      <c r="J20" s="39">
        <f>(2200+625)/2</f>
        <v>1412.5</v>
      </c>
      <c r="K20" s="36"/>
      <c r="L20" s="44"/>
      <c r="M20" s="7"/>
      <c r="N20" s="7"/>
    </row>
    <row r="21" spans="1:14" x14ac:dyDescent="0.2">
      <c r="A21" s="34">
        <v>12</v>
      </c>
      <c r="B21" s="35" t="s">
        <v>51</v>
      </c>
      <c r="C21" s="36" t="s">
        <v>19</v>
      </c>
      <c r="D21" s="37">
        <v>1069</v>
      </c>
      <c r="E21" s="38">
        <v>800</v>
      </c>
      <c r="F21" s="39">
        <v>400</v>
      </c>
      <c r="G21" s="39">
        <v>50</v>
      </c>
      <c r="H21" s="40">
        <v>15</v>
      </c>
      <c r="I21" s="41">
        <f>(1166+1865)/2</f>
        <v>1515.5</v>
      </c>
      <c r="J21" s="39">
        <f>475</f>
        <v>475</v>
      </c>
      <c r="K21" s="36"/>
      <c r="L21" s="44"/>
      <c r="M21" s="7"/>
      <c r="N21" s="7"/>
    </row>
    <row r="22" spans="1:14" x14ac:dyDescent="0.2">
      <c r="A22" s="34">
        <v>13</v>
      </c>
      <c r="B22" s="35" t="s">
        <v>52</v>
      </c>
      <c r="C22" s="36" t="s">
        <v>19</v>
      </c>
      <c r="D22" s="37">
        <v>390</v>
      </c>
      <c r="E22" s="38">
        <v>800</v>
      </c>
      <c r="F22" s="39">
        <v>400</v>
      </c>
      <c r="G22" s="39">
        <v>50</v>
      </c>
      <c r="H22" s="40">
        <v>15</v>
      </c>
      <c r="I22" s="41">
        <f>(5625+1593)/2</f>
        <v>3609</v>
      </c>
      <c r="J22" s="39">
        <f>789</f>
        <v>789</v>
      </c>
      <c r="K22" s="36"/>
      <c r="L22" s="44"/>
      <c r="M22" s="7"/>
      <c r="N22" s="7"/>
    </row>
    <row r="23" spans="1:14" x14ac:dyDescent="0.2">
      <c r="A23" s="34">
        <v>14</v>
      </c>
      <c r="B23" s="35" t="s">
        <v>49</v>
      </c>
      <c r="C23" s="36" t="s">
        <v>19</v>
      </c>
      <c r="D23" s="37">
        <v>99</v>
      </c>
      <c r="E23" s="38">
        <v>800</v>
      </c>
      <c r="F23" s="39">
        <v>400</v>
      </c>
      <c r="G23" s="39">
        <v>50</v>
      </c>
      <c r="H23" s="40">
        <v>15</v>
      </c>
      <c r="I23" s="41">
        <f>(4852+2185)/2</f>
        <v>3518.5</v>
      </c>
      <c r="J23" s="39">
        <f>(1230+452)/2</f>
        <v>841</v>
      </c>
      <c r="K23" s="36"/>
      <c r="L23" s="44"/>
      <c r="M23" s="7"/>
      <c r="N23" s="7"/>
    </row>
    <row r="24" spans="1:14" x14ac:dyDescent="0.2">
      <c r="A24" s="34">
        <v>15</v>
      </c>
      <c r="B24" s="42" t="s">
        <v>30</v>
      </c>
      <c r="C24" s="36" t="s">
        <v>19</v>
      </c>
      <c r="D24" s="37">
        <v>9600</v>
      </c>
      <c r="E24" s="38">
        <v>800</v>
      </c>
      <c r="F24" s="39">
        <v>400</v>
      </c>
      <c r="G24" s="39">
        <v>50</v>
      </c>
      <c r="H24" s="40">
        <v>15</v>
      </c>
      <c r="I24" s="41">
        <f>(932+2505)/2</f>
        <v>1718.5</v>
      </c>
      <c r="J24" s="39">
        <f>570</f>
        <v>570</v>
      </c>
      <c r="K24" s="36"/>
      <c r="L24" s="44"/>
      <c r="M24" s="7"/>
      <c r="N24" s="7"/>
    </row>
    <row r="25" spans="1:14" x14ac:dyDescent="0.2">
      <c r="A25" s="34">
        <v>16</v>
      </c>
      <c r="B25" s="42" t="s">
        <v>31</v>
      </c>
      <c r="C25" s="36" t="s">
        <v>91</v>
      </c>
      <c r="D25" s="37">
        <v>1206</v>
      </c>
      <c r="E25" s="38">
        <v>800</v>
      </c>
      <c r="F25" s="39">
        <v>400</v>
      </c>
      <c r="G25" s="39">
        <v>50</v>
      </c>
      <c r="H25" s="40">
        <v>15</v>
      </c>
      <c r="I25" s="41">
        <f>(6190+6575)/2</f>
        <v>6382.5</v>
      </c>
      <c r="J25" s="39"/>
      <c r="K25" s="36">
        <f>(85+45)/2</f>
        <v>65</v>
      </c>
      <c r="L25" s="44">
        <f>(27+22)/2</f>
        <v>24.5</v>
      </c>
      <c r="M25" s="7"/>
      <c r="N25" s="7"/>
    </row>
    <row r="26" spans="1:14" ht="36" x14ac:dyDescent="0.2">
      <c r="A26" s="34">
        <v>17</v>
      </c>
      <c r="B26" s="43" t="s">
        <v>63</v>
      </c>
      <c r="C26" s="36" t="s">
        <v>19</v>
      </c>
      <c r="D26" s="37">
        <v>1280</v>
      </c>
      <c r="E26" s="38">
        <v>800</v>
      </c>
      <c r="F26" s="39">
        <v>400</v>
      </c>
      <c r="G26" s="39">
        <v>50</v>
      </c>
      <c r="H26" s="40">
        <v>15</v>
      </c>
      <c r="I26" s="41">
        <f>(5668+4020)/2</f>
        <v>4844</v>
      </c>
      <c r="J26" s="39">
        <f>1005</f>
        <v>1005</v>
      </c>
      <c r="K26" s="36"/>
      <c r="L26" s="44"/>
      <c r="M26" s="7"/>
      <c r="N26" s="7"/>
    </row>
    <row r="27" spans="1:14" x14ac:dyDescent="0.2">
      <c r="A27" s="34">
        <v>18</v>
      </c>
      <c r="B27" s="42" t="s">
        <v>57</v>
      </c>
      <c r="C27" s="36" t="s">
        <v>19</v>
      </c>
      <c r="D27" s="37">
        <v>528</v>
      </c>
      <c r="E27" s="38">
        <v>800</v>
      </c>
      <c r="F27" s="39">
        <v>400</v>
      </c>
      <c r="G27" s="39">
        <v>50</v>
      </c>
      <c r="H27" s="40">
        <v>15</v>
      </c>
      <c r="I27" s="41">
        <f>(4070+3915)/2</f>
        <v>3992.5</v>
      </c>
      <c r="J27" s="39">
        <f>(1460+870)/2</f>
        <v>1165</v>
      </c>
      <c r="K27" s="39"/>
      <c r="L27" s="40"/>
      <c r="M27" s="7"/>
      <c r="N27" s="7"/>
    </row>
    <row r="28" spans="1:14" x14ac:dyDescent="0.2">
      <c r="A28" s="34">
        <v>19</v>
      </c>
      <c r="B28" s="42" t="s">
        <v>28</v>
      </c>
      <c r="C28" s="36" t="s">
        <v>19</v>
      </c>
      <c r="D28" s="37">
        <f>'דיווח דיגומים'!F28</f>
        <v>2299</v>
      </c>
      <c r="E28" s="38">
        <v>800</v>
      </c>
      <c r="F28" s="39">
        <v>400</v>
      </c>
      <c r="G28" s="39">
        <v>50</v>
      </c>
      <c r="H28" s="40">
        <v>15</v>
      </c>
      <c r="I28" s="41">
        <f>23355</f>
        <v>23355</v>
      </c>
      <c r="J28" s="39">
        <f>1450</f>
        <v>1450</v>
      </c>
      <c r="K28" s="39"/>
      <c r="L28" s="40"/>
      <c r="M28" s="7"/>
      <c r="N28" s="7"/>
    </row>
    <row r="29" spans="1:14" x14ac:dyDescent="0.2">
      <c r="A29" s="34">
        <v>20</v>
      </c>
      <c r="B29" s="42" t="s">
        <v>55</v>
      </c>
      <c r="C29" s="36" t="s">
        <v>19</v>
      </c>
      <c r="D29" s="37">
        <v>662</v>
      </c>
      <c r="E29" s="38">
        <v>800</v>
      </c>
      <c r="F29" s="39">
        <v>400</v>
      </c>
      <c r="G29" s="39">
        <v>50</v>
      </c>
      <c r="H29" s="40">
        <v>15</v>
      </c>
      <c r="I29" s="41">
        <f>(3591+2319+2185)/3</f>
        <v>2698.3333333333335</v>
      </c>
      <c r="J29" s="39">
        <f>(1038+440)/2</f>
        <v>739</v>
      </c>
      <c r="K29" s="39"/>
      <c r="L29" s="40"/>
      <c r="M29" s="7"/>
      <c r="N29" s="7"/>
    </row>
    <row r="30" spans="1:14" x14ac:dyDescent="0.2">
      <c r="A30" s="34">
        <v>21</v>
      </c>
      <c r="B30" s="42" t="s">
        <v>27</v>
      </c>
      <c r="C30" s="36" t="s">
        <v>19</v>
      </c>
      <c r="D30" s="37">
        <v>7360</v>
      </c>
      <c r="E30" s="38">
        <v>800</v>
      </c>
      <c r="F30" s="39">
        <v>400</v>
      </c>
      <c r="G30" s="39">
        <v>50</v>
      </c>
      <c r="H30" s="40">
        <v>15</v>
      </c>
      <c r="I30" s="41">
        <f>1647</f>
        <v>1647</v>
      </c>
      <c r="J30" s="39"/>
      <c r="K30" s="39"/>
      <c r="L30" s="40"/>
      <c r="M30" s="7"/>
      <c r="N30" s="7"/>
    </row>
    <row r="31" spans="1:14" ht="51" customHeight="1" x14ac:dyDescent="0.2">
      <c r="A31" s="34">
        <v>22</v>
      </c>
      <c r="B31" s="43" t="s">
        <v>127</v>
      </c>
      <c r="C31" s="47" t="s">
        <v>94</v>
      </c>
      <c r="D31" s="37">
        <v>960</v>
      </c>
      <c r="E31" s="38">
        <v>800</v>
      </c>
      <c r="F31" s="39">
        <v>400</v>
      </c>
      <c r="G31" s="39">
        <v>50</v>
      </c>
      <c r="H31" s="40">
        <v>15</v>
      </c>
      <c r="I31" s="41">
        <f>861</f>
        <v>861</v>
      </c>
      <c r="J31" s="39">
        <v>970</v>
      </c>
      <c r="K31" s="39"/>
      <c r="L31" s="40"/>
      <c r="M31" s="7"/>
      <c r="N31" s="7"/>
    </row>
    <row r="32" spans="1:14" ht="54" x14ac:dyDescent="0.2">
      <c r="A32" s="34">
        <v>23</v>
      </c>
      <c r="B32" s="43" t="s">
        <v>42</v>
      </c>
      <c r="C32" s="47" t="s">
        <v>92</v>
      </c>
      <c r="D32" s="37">
        <v>3200</v>
      </c>
      <c r="E32" s="38">
        <v>800</v>
      </c>
      <c r="F32" s="39">
        <v>400</v>
      </c>
      <c r="G32" s="39">
        <v>50</v>
      </c>
      <c r="H32" s="40">
        <v>15</v>
      </c>
      <c r="I32" s="41">
        <f>(1521+1975)/2</f>
        <v>1748</v>
      </c>
      <c r="J32" s="39"/>
      <c r="K32" s="39"/>
      <c r="L32" s="40"/>
      <c r="M32" s="7"/>
      <c r="N32" s="7"/>
    </row>
    <row r="33" spans="1:14" x14ac:dyDescent="0.2">
      <c r="A33" s="34">
        <v>24</v>
      </c>
      <c r="B33" s="42" t="s">
        <v>37</v>
      </c>
      <c r="C33" s="36" t="s">
        <v>95</v>
      </c>
      <c r="D33" s="37">
        <v>189</v>
      </c>
      <c r="E33" s="38">
        <v>800</v>
      </c>
      <c r="F33" s="39">
        <v>400</v>
      </c>
      <c r="G33" s="39">
        <v>50</v>
      </c>
      <c r="H33" s="40">
        <v>15</v>
      </c>
      <c r="I33" s="41"/>
      <c r="J33" s="39">
        <f>(1062+590)/2</f>
        <v>826</v>
      </c>
      <c r="K33" s="39"/>
      <c r="L33" s="40"/>
      <c r="M33" s="7"/>
      <c r="N33" s="7"/>
    </row>
    <row r="34" spans="1:14" x14ac:dyDescent="0.2">
      <c r="A34" s="34">
        <v>25</v>
      </c>
      <c r="B34" s="42" t="s">
        <v>36</v>
      </c>
      <c r="C34" s="36" t="s">
        <v>95</v>
      </c>
      <c r="D34" s="37">
        <v>493</v>
      </c>
      <c r="E34" s="38">
        <v>800</v>
      </c>
      <c r="F34" s="39">
        <v>400</v>
      </c>
      <c r="G34" s="39">
        <v>50</v>
      </c>
      <c r="H34" s="40">
        <v>15</v>
      </c>
      <c r="I34" s="41"/>
      <c r="J34" s="39">
        <f>772</f>
        <v>772</v>
      </c>
      <c r="K34" s="39"/>
      <c r="L34" s="40"/>
      <c r="M34" s="7"/>
      <c r="N34" s="7"/>
    </row>
    <row r="35" spans="1:14" x14ac:dyDescent="0.2">
      <c r="A35" s="34">
        <v>26</v>
      </c>
      <c r="B35" s="35" t="s">
        <v>46</v>
      </c>
      <c r="C35" s="36" t="s">
        <v>96</v>
      </c>
      <c r="D35" s="37">
        <v>160</v>
      </c>
      <c r="E35" s="38">
        <v>800</v>
      </c>
      <c r="F35" s="39">
        <v>400</v>
      </c>
      <c r="G35" s="39">
        <v>50</v>
      </c>
      <c r="H35" s="40">
        <v>15</v>
      </c>
      <c r="I35" s="41">
        <f>849</f>
        <v>849</v>
      </c>
      <c r="J35" s="39">
        <f>(460+515)/2</f>
        <v>487.5</v>
      </c>
      <c r="K35" s="39"/>
      <c r="L35" s="40"/>
      <c r="M35" s="7"/>
      <c r="N35" s="7"/>
    </row>
    <row r="36" spans="1:14" x14ac:dyDescent="0.2">
      <c r="A36" s="34">
        <v>27</v>
      </c>
      <c r="B36" s="35" t="s">
        <v>138</v>
      </c>
      <c r="C36" s="36" t="s">
        <v>19</v>
      </c>
      <c r="D36" s="37">
        <v>416</v>
      </c>
      <c r="E36" s="38">
        <v>800</v>
      </c>
      <c r="F36" s="39">
        <v>400</v>
      </c>
      <c r="G36" s="39">
        <v>50</v>
      </c>
      <c r="H36" s="40">
        <v>15</v>
      </c>
      <c r="I36" s="41">
        <f>(18045+890)/2</f>
        <v>9467.5</v>
      </c>
      <c r="J36" s="39">
        <f>2586</f>
        <v>2586</v>
      </c>
      <c r="K36" s="39"/>
      <c r="L36" s="40"/>
      <c r="M36" s="7"/>
      <c r="N36" s="7"/>
    </row>
    <row r="37" spans="1:14" x14ac:dyDescent="0.2">
      <c r="A37" s="34">
        <v>28</v>
      </c>
      <c r="B37" s="48" t="s">
        <v>43</v>
      </c>
      <c r="C37" s="36" t="s">
        <v>19</v>
      </c>
      <c r="D37" s="37">
        <f>'דיווח דיגומים'!F8</f>
        <v>120</v>
      </c>
      <c r="E37" s="38">
        <v>800</v>
      </c>
      <c r="F37" s="39">
        <v>400</v>
      </c>
      <c r="G37" s="39">
        <v>50</v>
      </c>
      <c r="H37" s="40">
        <v>15</v>
      </c>
      <c r="I37" s="41"/>
      <c r="J37" s="39">
        <f>650</f>
        <v>650</v>
      </c>
      <c r="K37" s="39"/>
      <c r="L37" s="40"/>
      <c r="M37" s="7"/>
      <c r="N37" s="7"/>
    </row>
    <row r="38" spans="1:14" x14ac:dyDescent="0.2">
      <c r="A38" s="34">
        <v>29</v>
      </c>
      <c r="B38" s="36" t="s">
        <v>144</v>
      </c>
      <c r="C38" s="36" t="s">
        <v>93</v>
      </c>
      <c r="D38" s="37">
        <v>640</v>
      </c>
      <c r="E38" s="38">
        <v>800</v>
      </c>
      <c r="F38" s="39">
        <v>400</v>
      </c>
      <c r="G38" s="39">
        <v>50</v>
      </c>
      <c r="H38" s="40">
        <v>15</v>
      </c>
      <c r="I38" s="41">
        <f>363000</f>
        <v>363000</v>
      </c>
      <c r="J38" s="39"/>
      <c r="K38" s="39"/>
      <c r="L38" s="40"/>
      <c r="M38" s="7"/>
      <c r="N38" s="7"/>
    </row>
    <row r="39" spans="1:14" x14ac:dyDescent="0.2">
      <c r="A39" s="34">
        <v>30</v>
      </c>
      <c r="B39" s="42" t="s">
        <v>26</v>
      </c>
      <c r="C39" s="36" t="s">
        <v>19</v>
      </c>
      <c r="D39" s="37">
        <v>11840</v>
      </c>
      <c r="E39" s="38">
        <v>800</v>
      </c>
      <c r="F39" s="39">
        <v>400</v>
      </c>
      <c r="G39" s="39">
        <v>50</v>
      </c>
      <c r="H39" s="40">
        <v>15</v>
      </c>
      <c r="I39" s="41">
        <v>1205</v>
      </c>
      <c r="J39" s="39"/>
      <c r="K39" s="39"/>
      <c r="L39" s="40"/>
      <c r="M39" s="7"/>
      <c r="N39" s="7"/>
    </row>
    <row r="40" spans="1:14" ht="18.75" thickBot="1" x14ac:dyDescent="0.25">
      <c r="A40" s="49">
        <v>31</v>
      </c>
      <c r="B40" s="50" t="s">
        <v>25</v>
      </c>
      <c r="C40" s="51" t="s">
        <v>19</v>
      </c>
      <c r="D40" s="52">
        <v>1184</v>
      </c>
      <c r="E40" s="53">
        <v>800</v>
      </c>
      <c r="F40" s="54">
        <v>400</v>
      </c>
      <c r="G40" s="54">
        <v>50</v>
      </c>
      <c r="H40" s="55">
        <v>15</v>
      </c>
      <c r="I40" s="56">
        <v>3020</v>
      </c>
      <c r="J40" s="54"/>
      <c r="K40" s="54"/>
      <c r="L40" s="55"/>
      <c r="M40" s="7"/>
      <c r="N40" s="7"/>
    </row>
    <row r="41" spans="1:14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7"/>
      <c r="N41" s="7"/>
    </row>
    <row r="42" spans="1:14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7"/>
      <c r="N42" s="7"/>
    </row>
    <row r="43" spans="1:14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7"/>
      <c r="N43" s="7"/>
    </row>
    <row r="44" spans="1:14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7"/>
      <c r="N44" s="7"/>
    </row>
    <row r="45" spans="1:14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7"/>
      <c r="N45" s="7"/>
    </row>
    <row r="46" spans="1:14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7"/>
      <c r="N46" s="7"/>
    </row>
    <row r="47" spans="1:14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7"/>
      <c r="N47" s="7"/>
    </row>
    <row r="48" spans="1:14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  <c r="N48" s="7"/>
    </row>
  </sheetData>
  <phoneticPr fontId="3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rightToLeft="1" workbookViewId="0">
      <selection activeCell="B13" sqref="B13"/>
    </sheetView>
  </sheetViews>
  <sheetFormatPr defaultColWidth="9.140625" defaultRowHeight="18" x14ac:dyDescent="0.2"/>
  <cols>
    <col min="1" max="1" width="4.85546875" style="88" customWidth="1"/>
    <col min="2" max="2" width="35.85546875" style="89" customWidth="1"/>
    <col min="3" max="3" width="33.7109375" style="89" bestFit="1" customWidth="1"/>
    <col min="4" max="4" width="14.28515625" style="68" bestFit="1" customWidth="1"/>
    <col min="5" max="5" width="11" style="88" bestFit="1" customWidth="1"/>
    <col min="6" max="6" width="22.7109375" style="89" customWidth="1"/>
    <col min="7" max="7" width="18.42578125" style="88" bestFit="1" customWidth="1"/>
    <col min="8" max="16384" width="9.140625" style="90"/>
  </cols>
  <sheetData>
    <row r="1" spans="1:7" s="70" customFormat="1" x14ac:dyDescent="0.2">
      <c r="A1" s="68"/>
      <c r="B1" s="69"/>
      <c r="C1" s="69"/>
      <c r="D1" s="68"/>
      <c r="E1" s="68"/>
      <c r="F1" s="69"/>
      <c r="G1" s="68"/>
    </row>
    <row r="2" spans="1:7" s="70" customFormat="1" x14ac:dyDescent="0.2">
      <c r="A2" s="68"/>
      <c r="B2" s="69"/>
      <c r="C2" s="69"/>
      <c r="D2" s="68"/>
      <c r="E2" s="68"/>
      <c r="F2" s="69"/>
      <c r="G2" s="68"/>
    </row>
    <row r="3" spans="1:7" s="70" customFormat="1" x14ac:dyDescent="0.2">
      <c r="A3" s="68"/>
      <c r="B3" s="69"/>
      <c r="C3" s="69"/>
      <c r="D3" s="68"/>
      <c r="E3" s="68"/>
      <c r="F3" s="69"/>
      <c r="G3" s="68"/>
    </row>
    <row r="4" spans="1:7" s="70" customFormat="1" ht="15.75" customHeight="1" x14ac:dyDescent="0.2">
      <c r="A4" s="68"/>
      <c r="B4" s="69"/>
      <c r="C4" s="69"/>
      <c r="D4" s="68"/>
      <c r="E4" s="68"/>
      <c r="F4" s="69"/>
      <c r="G4" s="68"/>
    </row>
    <row r="5" spans="1:7" s="70" customFormat="1" ht="15.75" customHeight="1" x14ac:dyDescent="0.2">
      <c r="A5" s="68"/>
      <c r="B5" s="69"/>
      <c r="C5" s="69"/>
      <c r="D5" s="68"/>
      <c r="E5" s="68"/>
      <c r="F5" s="69"/>
      <c r="G5" s="68"/>
    </row>
    <row r="6" spans="1:7" s="70" customFormat="1" ht="18.75" thickBot="1" x14ac:dyDescent="0.25">
      <c r="A6" s="15" t="s">
        <v>21</v>
      </c>
      <c r="B6" s="71"/>
      <c r="C6" s="71"/>
      <c r="D6" s="16"/>
      <c r="E6" s="16"/>
      <c r="F6" s="71"/>
      <c r="G6" s="16"/>
    </row>
    <row r="7" spans="1:7" s="72" customFormat="1" ht="54.75" thickBot="1" x14ac:dyDescent="0.25">
      <c r="A7" s="20" t="s">
        <v>1</v>
      </c>
      <c r="B7" s="18" t="s">
        <v>0</v>
      </c>
      <c r="C7" s="18" t="s">
        <v>13</v>
      </c>
      <c r="D7" s="19" t="s">
        <v>170</v>
      </c>
      <c r="E7" s="18" t="s">
        <v>9</v>
      </c>
      <c r="F7" s="18" t="s">
        <v>11</v>
      </c>
      <c r="G7" s="22" t="s">
        <v>10</v>
      </c>
    </row>
    <row r="8" spans="1:7" s="70" customFormat="1" ht="18" customHeight="1" x14ac:dyDescent="0.2">
      <c r="A8" s="73">
        <v>1</v>
      </c>
      <c r="B8" s="74" t="s">
        <v>39</v>
      </c>
      <c r="C8" s="75" t="s">
        <v>91</v>
      </c>
      <c r="D8" s="76">
        <v>3136</v>
      </c>
      <c r="E8" s="77" t="s">
        <v>112</v>
      </c>
      <c r="F8" s="78" t="s">
        <v>111</v>
      </c>
      <c r="G8" s="79">
        <v>295</v>
      </c>
    </row>
    <row r="9" spans="1:7" s="70" customFormat="1" ht="18" customHeight="1" x14ac:dyDescent="0.2">
      <c r="A9" s="34">
        <v>2</v>
      </c>
      <c r="B9" s="42" t="s">
        <v>68</v>
      </c>
      <c r="C9" s="36" t="s">
        <v>19</v>
      </c>
      <c r="D9" s="80">
        <f>'דיווח דיגומים'!F32</f>
        <v>1562</v>
      </c>
      <c r="E9" s="81" t="s">
        <v>114</v>
      </c>
      <c r="F9" s="36" t="s">
        <v>113</v>
      </c>
      <c r="G9" s="82">
        <v>9466</v>
      </c>
    </row>
    <row r="10" spans="1:7" s="70" customFormat="1" ht="18" customHeight="1" x14ac:dyDescent="0.2">
      <c r="A10" s="34">
        <v>3</v>
      </c>
      <c r="B10" s="43" t="s">
        <v>90</v>
      </c>
      <c r="C10" s="36" t="s">
        <v>19</v>
      </c>
      <c r="D10" s="62">
        <f>'דיווח דיגומים'!F29</f>
        <v>1280</v>
      </c>
      <c r="E10" s="81" t="s">
        <v>112</v>
      </c>
      <c r="F10" s="36" t="s">
        <v>113</v>
      </c>
      <c r="G10" s="82">
        <v>1186</v>
      </c>
    </row>
    <row r="11" spans="1:7" s="70" customFormat="1" ht="36" customHeight="1" x14ac:dyDescent="0.2">
      <c r="A11" s="34">
        <v>4</v>
      </c>
      <c r="B11" s="43" t="s">
        <v>47</v>
      </c>
      <c r="C11" s="36" t="s">
        <v>19</v>
      </c>
      <c r="D11" s="61">
        <v>259</v>
      </c>
      <c r="E11" s="81" t="s">
        <v>117</v>
      </c>
      <c r="F11" s="47" t="s">
        <v>115</v>
      </c>
      <c r="G11" s="83" t="s">
        <v>116</v>
      </c>
    </row>
    <row r="12" spans="1:7" s="70" customFormat="1" ht="36" customHeight="1" x14ac:dyDescent="0.2">
      <c r="A12" s="34">
        <v>5</v>
      </c>
      <c r="B12" s="42" t="s">
        <v>45</v>
      </c>
      <c r="C12" s="36" t="s">
        <v>19</v>
      </c>
      <c r="D12" s="61">
        <v>416</v>
      </c>
      <c r="E12" s="81" t="s">
        <v>120</v>
      </c>
      <c r="F12" s="47" t="s">
        <v>119</v>
      </c>
      <c r="G12" s="83" t="s">
        <v>118</v>
      </c>
    </row>
    <row r="13" spans="1:7" s="70" customFormat="1" ht="18" customHeight="1" x14ac:dyDescent="0.2">
      <c r="A13" s="34">
        <v>6</v>
      </c>
      <c r="B13" s="42" t="s">
        <v>52</v>
      </c>
      <c r="C13" s="36" t="s">
        <v>19</v>
      </c>
      <c r="D13" s="39">
        <v>390</v>
      </c>
      <c r="E13" s="81" t="s">
        <v>120</v>
      </c>
      <c r="F13" s="47" t="s">
        <v>113</v>
      </c>
      <c r="G13" s="82">
        <v>384</v>
      </c>
    </row>
    <row r="14" spans="1:7" s="70" customFormat="1" ht="18" customHeight="1" x14ac:dyDescent="0.2">
      <c r="A14" s="34">
        <v>7</v>
      </c>
      <c r="B14" s="42" t="s">
        <v>49</v>
      </c>
      <c r="C14" s="36" t="s">
        <v>19</v>
      </c>
      <c r="D14" s="39">
        <v>99</v>
      </c>
      <c r="E14" s="81" t="s">
        <v>117</v>
      </c>
      <c r="F14" s="47" t="s">
        <v>113</v>
      </c>
      <c r="G14" s="82">
        <v>416</v>
      </c>
    </row>
    <row r="15" spans="1:7" s="70" customFormat="1" ht="36" customHeight="1" x14ac:dyDescent="0.2">
      <c r="A15" s="34">
        <v>8</v>
      </c>
      <c r="B15" s="42" t="s">
        <v>31</v>
      </c>
      <c r="C15" s="36" t="s">
        <v>91</v>
      </c>
      <c r="D15" s="39">
        <v>1206</v>
      </c>
      <c r="E15" s="81" t="s">
        <v>122</v>
      </c>
      <c r="F15" s="47" t="s">
        <v>123</v>
      </c>
      <c r="G15" s="83" t="s">
        <v>124</v>
      </c>
    </row>
    <row r="16" spans="1:7" s="70" customFormat="1" ht="18" customHeight="1" x14ac:dyDescent="0.2">
      <c r="A16" s="34">
        <v>9</v>
      </c>
      <c r="B16" s="42" t="s">
        <v>57</v>
      </c>
      <c r="C16" s="36" t="s">
        <v>19</v>
      </c>
      <c r="D16" s="39">
        <v>528</v>
      </c>
      <c r="E16" s="81" t="s">
        <v>122</v>
      </c>
      <c r="F16" s="36" t="s">
        <v>125</v>
      </c>
      <c r="G16" s="82">
        <v>5</v>
      </c>
    </row>
    <row r="17" spans="1:7" s="70" customFormat="1" ht="18" customHeight="1" x14ac:dyDescent="0.2">
      <c r="A17" s="34">
        <v>10</v>
      </c>
      <c r="B17" s="42" t="s">
        <v>28</v>
      </c>
      <c r="C17" s="36" t="s">
        <v>19</v>
      </c>
      <c r="D17" s="39">
        <f>'דיווח דיגומים'!F18</f>
        <v>74.5</v>
      </c>
      <c r="E17" s="81" t="s">
        <v>121</v>
      </c>
      <c r="F17" s="47" t="s">
        <v>113</v>
      </c>
      <c r="G17" s="82">
        <v>4940</v>
      </c>
    </row>
    <row r="18" spans="1:7" s="70" customFormat="1" ht="36" customHeight="1" x14ac:dyDescent="0.2">
      <c r="A18" s="34">
        <v>11</v>
      </c>
      <c r="B18" s="42" t="s">
        <v>55</v>
      </c>
      <c r="C18" s="36" t="s">
        <v>19</v>
      </c>
      <c r="D18" s="39">
        <v>662</v>
      </c>
      <c r="E18" s="81" t="s">
        <v>122</v>
      </c>
      <c r="F18" s="47" t="s">
        <v>119</v>
      </c>
      <c r="G18" s="83" t="s">
        <v>126</v>
      </c>
    </row>
    <row r="19" spans="1:7" s="70" customFormat="1" ht="36" customHeight="1" x14ac:dyDescent="0.2">
      <c r="A19" s="34">
        <v>12</v>
      </c>
      <c r="B19" s="43" t="s">
        <v>127</v>
      </c>
      <c r="C19" s="47" t="s">
        <v>94</v>
      </c>
      <c r="D19" s="39">
        <v>960</v>
      </c>
      <c r="E19" s="81" t="s">
        <v>129</v>
      </c>
      <c r="F19" s="36" t="s">
        <v>128</v>
      </c>
      <c r="G19" s="82">
        <v>40</v>
      </c>
    </row>
    <row r="20" spans="1:7" s="70" customFormat="1" ht="54" customHeight="1" x14ac:dyDescent="0.2">
      <c r="A20" s="34">
        <v>13</v>
      </c>
      <c r="B20" s="42" t="s">
        <v>55</v>
      </c>
      <c r="C20" s="36" t="s">
        <v>19</v>
      </c>
      <c r="D20" s="39">
        <v>662</v>
      </c>
      <c r="E20" s="81" t="s">
        <v>132</v>
      </c>
      <c r="F20" s="47" t="s">
        <v>130</v>
      </c>
      <c r="G20" s="83" t="s">
        <v>131</v>
      </c>
    </row>
    <row r="21" spans="1:7" s="70" customFormat="1" ht="90" customHeight="1" x14ac:dyDescent="0.2">
      <c r="A21" s="34">
        <v>14</v>
      </c>
      <c r="B21" s="42" t="s">
        <v>37</v>
      </c>
      <c r="C21" s="36" t="s">
        <v>95</v>
      </c>
      <c r="D21" s="39">
        <v>189</v>
      </c>
      <c r="E21" s="81" t="s">
        <v>132</v>
      </c>
      <c r="F21" s="47" t="s">
        <v>133</v>
      </c>
      <c r="G21" s="83" t="s">
        <v>134</v>
      </c>
    </row>
    <row r="22" spans="1:7" s="70" customFormat="1" ht="36" customHeight="1" x14ac:dyDescent="0.2">
      <c r="A22" s="34">
        <v>15</v>
      </c>
      <c r="B22" s="42" t="s">
        <v>36</v>
      </c>
      <c r="C22" s="36" t="s">
        <v>95</v>
      </c>
      <c r="D22" s="61">
        <v>493</v>
      </c>
      <c r="E22" s="81" t="s">
        <v>137</v>
      </c>
      <c r="F22" s="47" t="s">
        <v>135</v>
      </c>
      <c r="G22" s="83" t="s">
        <v>136</v>
      </c>
    </row>
    <row r="23" spans="1:7" s="70" customFormat="1" x14ac:dyDescent="0.2">
      <c r="A23" s="34">
        <v>16</v>
      </c>
      <c r="B23" s="35" t="s">
        <v>138</v>
      </c>
      <c r="C23" s="36" t="s">
        <v>19</v>
      </c>
      <c r="D23" s="61">
        <v>416</v>
      </c>
      <c r="E23" s="81" t="s">
        <v>139</v>
      </c>
      <c r="F23" s="47" t="s">
        <v>113</v>
      </c>
      <c r="G23" s="82">
        <v>1173</v>
      </c>
    </row>
    <row r="24" spans="1:7" s="70" customFormat="1" x14ac:dyDescent="0.2">
      <c r="A24" s="34">
        <v>17</v>
      </c>
      <c r="B24" s="43" t="s">
        <v>63</v>
      </c>
      <c r="C24" s="36" t="s">
        <v>19</v>
      </c>
      <c r="D24" s="39">
        <v>1280</v>
      </c>
      <c r="E24" s="81" t="s">
        <v>140</v>
      </c>
      <c r="F24" s="47" t="s">
        <v>113</v>
      </c>
      <c r="G24" s="82">
        <v>463</v>
      </c>
    </row>
    <row r="25" spans="1:7" s="70" customFormat="1" ht="36" customHeight="1" x14ac:dyDescent="0.2">
      <c r="A25" s="34">
        <v>18</v>
      </c>
      <c r="B25" s="42" t="s">
        <v>31</v>
      </c>
      <c r="C25" s="36" t="s">
        <v>91</v>
      </c>
      <c r="D25" s="39">
        <v>1206</v>
      </c>
      <c r="E25" s="81" t="s">
        <v>143</v>
      </c>
      <c r="F25" s="47" t="s">
        <v>141</v>
      </c>
      <c r="G25" s="83" t="s">
        <v>142</v>
      </c>
    </row>
    <row r="26" spans="1:7" s="70" customFormat="1" ht="36" customHeight="1" x14ac:dyDescent="0.2">
      <c r="A26" s="34">
        <v>19</v>
      </c>
      <c r="B26" s="36" t="s">
        <v>144</v>
      </c>
      <c r="C26" s="36" t="s">
        <v>93</v>
      </c>
      <c r="D26" s="61">
        <v>640</v>
      </c>
      <c r="E26" s="81" t="s">
        <v>147</v>
      </c>
      <c r="F26" s="47" t="s">
        <v>145</v>
      </c>
      <c r="G26" s="83" t="s">
        <v>146</v>
      </c>
    </row>
    <row r="27" spans="1:7" s="70" customFormat="1" ht="54" customHeight="1" x14ac:dyDescent="0.2">
      <c r="A27" s="34">
        <v>20</v>
      </c>
      <c r="B27" s="42" t="s">
        <v>37</v>
      </c>
      <c r="C27" s="36" t="s">
        <v>95</v>
      </c>
      <c r="D27" s="39">
        <v>189</v>
      </c>
      <c r="E27" s="81" t="s">
        <v>147</v>
      </c>
      <c r="F27" s="47" t="s">
        <v>148</v>
      </c>
      <c r="G27" s="83" t="s">
        <v>149</v>
      </c>
    </row>
    <row r="28" spans="1:7" s="70" customFormat="1" ht="18" customHeight="1" x14ac:dyDescent="0.2">
      <c r="A28" s="34">
        <v>21</v>
      </c>
      <c r="B28" s="43" t="s">
        <v>47</v>
      </c>
      <c r="C28" s="36" t="s">
        <v>19</v>
      </c>
      <c r="D28" s="61">
        <v>259</v>
      </c>
      <c r="E28" s="81" t="s">
        <v>150</v>
      </c>
      <c r="F28" s="36" t="s">
        <v>125</v>
      </c>
      <c r="G28" s="84">
        <v>5.3</v>
      </c>
    </row>
    <row r="29" spans="1:7" s="70" customFormat="1" ht="18" customHeight="1" x14ac:dyDescent="0.2">
      <c r="A29" s="34">
        <v>22</v>
      </c>
      <c r="B29" s="35" t="s">
        <v>51</v>
      </c>
      <c r="C29" s="36" t="s">
        <v>19</v>
      </c>
      <c r="D29" s="39">
        <v>1069</v>
      </c>
      <c r="E29" s="81" t="s">
        <v>151</v>
      </c>
      <c r="F29" s="36" t="s">
        <v>125</v>
      </c>
      <c r="G29" s="84">
        <v>5.18</v>
      </c>
    </row>
    <row r="30" spans="1:7" s="70" customFormat="1" ht="18" customHeight="1" x14ac:dyDescent="0.2">
      <c r="A30" s="34">
        <v>23</v>
      </c>
      <c r="B30" s="42" t="s">
        <v>25</v>
      </c>
      <c r="C30" s="36" t="s">
        <v>19</v>
      </c>
      <c r="D30" s="39">
        <v>1184</v>
      </c>
      <c r="E30" s="81" t="s">
        <v>152</v>
      </c>
      <c r="F30" s="36" t="s">
        <v>125</v>
      </c>
      <c r="G30" s="84">
        <v>4.54</v>
      </c>
    </row>
    <row r="31" spans="1:7" s="70" customFormat="1" ht="36" x14ac:dyDescent="0.2">
      <c r="A31" s="34">
        <v>24</v>
      </c>
      <c r="B31" s="42" t="s">
        <v>37</v>
      </c>
      <c r="C31" s="36" t="s">
        <v>95</v>
      </c>
      <c r="D31" s="39">
        <v>189</v>
      </c>
      <c r="E31" s="81" t="s">
        <v>153</v>
      </c>
      <c r="F31" s="47" t="s">
        <v>154</v>
      </c>
      <c r="G31" s="84" t="s">
        <v>155</v>
      </c>
    </row>
    <row r="32" spans="1:7" s="70" customFormat="1" ht="18" customHeight="1" x14ac:dyDescent="0.2">
      <c r="A32" s="34">
        <v>25</v>
      </c>
      <c r="B32" s="46" t="s">
        <v>58</v>
      </c>
      <c r="C32" s="36" t="s">
        <v>19</v>
      </c>
      <c r="D32" s="39">
        <v>355</v>
      </c>
      <c r="E32" s="81" t="s">
        <v>152</v>
      </c>
      <c r="F32" s="36" t="s">
        <v>125</v>
      </c>
      <c r="G32" s="84">
        <v>5.1100000000000003</v>
      </c>
    </row>
    <row r="33" spans="1:7" s="70" customFormat="1" ht="36" x14ac:dyDescent="0.2">
      <c r="A33" s="34">
        <v>26</v>
      </c>
      <c r="B33" s="43" t="s">
        <v>127</v>
      </c>
      <c r="C33" s="47" t="s">
        <v>94</v>
      </c>
      <c r="D33" s="39">
        <v>960</v>
      </c>
      <c r="E33" s="81" t="s">
        <v>153</v>
      </c>
      <c r="F33" s="36" t="s">
        <v>156</v>
      </c>
      <c r="G33" s="84">
        <v>200</v>
      </c>
    </row>
    <row r="34" spans="1:7" s="70" customFormat="1" ht="54" customHeight="1" thickBot="1" x14ac:dyDescent="0.25">
      <c r="A34" s="49">
        <v>27</v>
      </c>
      <c r="B34" s="50" t="s">
        <v>57</v>
      </c>
      <c r="C34" s="51" t="s">
        <v>19</v>
      </c>
      <c r="D34" s="54">
        <v>528</v>
      </c>
      <c r="E34" s="85" t="s">
        <v>152</v>
      </c>
      <c r="F34" s="86" t="s">
        <v>157</v>
      </c>
      <c r="G34" s="87" t="s">
        <v>158</v>
      </c>
    </row>
    <row r="35" spans="1:7" s="70" customFormat="1" x14ac:dyDescent="0.2">
      <c r="A35" s="68"/>
      <c r="B35" s="69"/>
      <c r="C35" s="69"/>
      <c r="D35" s="68"/>
      <c r="E35" s="68"/>
      <c r="F35" s="69"/>
      <c r="G35" s="68"/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דיווח דיגומים</vt:lpstr>
      <vt:lpstr>דיווח חריגים</vt:lpstr>
      <vt:lpstr>תוצאות דיגום אסורים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dannyg</dc:creator>
  <cp:lastModifiedBy>Limor</cp:lastModifiedBy>
  <cp:lastPrinted>2016-02-01T12:59:36Z</cp:lastPrinted>
  <dcterms:created xsi:type="dcterms:W3CDTF">2011-11-17T04:01:22Z</dcterms:created>
  <dcterms:modified xsi:type="dcterms:W3CDTF">2016-03-14T15:35:41Z</dcterms:modified>
</cp:coreProperties>
</file>